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activeTab="0"/>
  </bookViews>
  <sheets>
    <sheet name="NPB IR 95 Trling 4 Qrtrs US" sheetId="1" r:id="rId1"/>
  </sheets>
  <definedNames>
    <definedName name="_xlnm.Print_Area" localSheetId="0">'NPB IR 95 Trling 4 Qrtrs US'!$A$1:$T$98</definedName>
    <definedName name="_xlnm.Print_Titles" localSheetId="0">'NPB IR 95 Trling 4 Qrtrs US'!$1:$4</definedName>
  </definedNames>
  <calcPr fullCalcOnLoad="1"/>
</workbook>
</file>

<file path=xl/sharedStrings.xml><?xml version="1.0" encoding="utf-8"?>
<sst xmlns="http://schemas.openxmlformats.org/spreadsheetml/2006/main" count="136" uniqueCount="34">
  <si>
    <t>3q</t>
  </si>
  <si>
    <t xml:space="preserve"> </t>
  </si>
  <si>
    <t>Common Equity</t>
  </si>
  <si>
    <t>Short Debt</t>
  </si>
  <si>
    <t>Long Debt</t>
  </si>
  <si>
    <t>Pref</t>
  </si>
  <si>
    <t>Dollar Amounts</t>
  </si>
  <si>
    <t>Sum of Cap Structures with Short debt</t>
  </si>
  <si>
    <t>Sum of Cap Structures with NO Short debt</t>
  </si>
  <si>
    <t>4q</t>
  </si>
  <si>
    <t>2q</t>
  </si>
  <si>
    <t>Cap Structures including Shrt Debt</t>
  </si>
  <si>
    <t>1q</t>
  </si>
  <si>
    <t>Cap Structures NO Shrt Debt</t>
  </si>
  <si>
    <t>4 Quarter Avg with Shrt Debt</t>
  </si>
  <si>
    <t>Average</t>
  </si>
  <si>
    <t>Total Debt</t>
  </si>
  <si>
    <t>ALLETE</t>
  </si>
  <si>
    <t>Alliant</t>
  </si>
  <si>
    <t>Dominion</t>
  </si>
  <si>
    <t>Duke</t>
  </si>
  <si>
    <t>IDACORP</t>
  </si>
  <si>
    <t>NextEra</t>
  </si>
  <si>
    <t>OGE</t>
  </si>
  <si>
    <t>Portland</t>
  </si>
  <si>
    <t>Progress</t>
  </si>
  <si>
    <t>SCANA</t>
  </si>
  <si>
    <t>Sempra</t>
  </si>
  <si>
    <t>Southern</t>
  </si>
  <si>
    <t>Vectren</t>
  </si>
  <si>
    <t>Wisconsin Energy</t>
  </si>
  <si>
    <t>Xcel</t>
  </si>
  <si>
    <t>Calendar quarters</t>
  </si>
  <si>
    <t xml:space="preserve">STD does not incl. current LTD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</si>
</sst>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%"/>
    <numFmt numFmtId="172" formatCode="0.0000%"/>
    <numFmt numFmtId="173" formatCode="[$-409]dddd\,\ mmmm\ dd\,\ yyyy"/>
    <numFmt numFmtId="174" formatCode="[$-409]h:mm:ss\ AM/PM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5" fontId="5" fillId="0" borderId="0" xfId="42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72" fontId="5" fillId="0" borderId="0" xfId="59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8"/>
  <sheetViews>
    <sheetView tabSelected="1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" sqref="C1"/>
    </sheetView>
  </sheetViews>
  <sheetFormatPr defaultColWidth="9.140625" defaultRowHeight="12.75"/>
  <cols>
    <col min="1" max="1" width="31.28125" style="2" customWidth="1"/>
    <col min="2" max="2" width="9.57421875" style="2" bestFit="1" customWidth="1"/>
    <col min="3" max="6" width="9.140625" style="2" customWidth="1"/>
    <col min="7" max="7" width="11.421875" style="2" customWidth="1"/>
    <col min="8" max="9" width="9.140625" style="2" customWidth="1"/>
    <col min="10" max="10" width="10.8515625" style="2" customWidth="1"/>
    <col min="11" max="16384" width="9.140625" style="2" customWidth="1"/>
  </cols>
  <sheetData>
    <row r="1" spans="1:24" ht="15">
      <c r="A1" s="1" t="s">
        <v>32</v>
      </c>
      <c r="B1" s="1"/>
      <c r="C1" s="1" t="s">
        <v>33</v>
      </c>
      <c r="D1" s="1"/>
      <c r="E1" s="1"/>
      <c r="F1" s="1"/>
      <c r="U1" s="3"/>
      <c r="V1" s="3"/>
      <c r="W1" s="3"/>
      <c r="X1" s="3"/>
    </row>
    <row r="2" spans="2:34" ht="15">
      <c r="B2" s="4">
        <v>2010</v>
      </c>
      <c r="C2" s="4"/>
      <c r="D2" s="4"/>
      <c r="E2" s="4"/>
      <c r="G2" s="4">
        <v>2010</v>
      </c>
      <c r="H2" s="4"/>
      <c r="I2" s="4"/>
      <c r="J2" s="4"/>
      <c r="L2" s="4">
        <v>2010</v>
      </c>
      <c r="M2" s="4"/>
      <c r="N2" s="4"/>
      <c r="O2" s="4"/>
      <c r="Q2" s="4">
        <v>2009</v>
      </c>
      <c r="R2" s="4"/>
      <c r="S2" s="4"/>
      <c r="T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ht="15">
      <c r="B3" s="4" t="s">
        <v>0</v>
      </c>
      <c r="C3" s="4"/>
      <c r="D3" s="4"/>
      <c r="E3" s="4"/>
      <c r="G3" s="4" t="s">
        <v>10</v>
      </c>
      <c r="H3" s="4"/>
      <c r="I3" s="4"/>
      <c r="J3" s="4"/>
      <c r="L3" s="4" t="s">
        <v>12</v>
      </c>
      <c r="M3" s="4"/>
      <c r="N3" s="4"/>
      <c r="O3" s="4"/>
      <c r="Q3" s="4" t="s">
        <v>9</v>
      </c>
      <c r="R3" s="4"/>
      <c r="S3" s="4"/>
      <c r="T3" s="4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20" s="5" customFormat="1" ht="30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G4" s="6" t="s">
        <v>2</v>
      </c>
      <c r="H4" s="6" t="s">
        <v>3</v>
      </c>
      <c r="I4" s="6" t="s">
        <v>4</v>
      </c>
      <c r="J4" s="6" t="s">
        <v>5</v>
      </c>
      <c r="L4" s="6" t="s">
        <v>2</v>
      </c>
      <c r="M4" s="6" t="s">
        <v>3</v>
      </c>
      <c r="N4" s="6" t="s">
        <v>4</v>
      </c>
      <c r="O4" s="6" t="s">
        <v>5</v>
      </c>
      <c r="Q4" s="6" t="s">
        <v>2</v>
      </c>
      <c r="R4" s="6" t="s">
        <v>3</v>
      </c>
      <c r="S4" s="6" t="s">
        <v>4</v>
      </c>
      <c r="T4" s="6" t="s">
        <v>5</v>
      </c>
    </row>
    <row r="5" spans="1:34" ht="15">
      <c r="A5" s="1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.75" customHeight="1">
      <c r="A6" s="2" t="s">
        <v>17</v>
      </c>
      <c r="B6" s="2">
        <f>984.1</f>
        <v>984.1</v>
      </c>
      <c r="C6" s="2">
        <v>1</v>
      </c>
      <c r="D6" s="2">
        <f>784.2+1.6</f>
        <v>785.8000000000001</v>
      </c>
      <c r="E6" s="2">
        <v>0</v>
      </c>
      <c r="G6" s="2">
        <v>971.6</v>
      </c>
      <c r="H6" s="2">
        <v>1.4</v>
      </c>
      <c r="I6" s="2">
        <f>709.6+1.6</f>
        <v>711.2</v>
      </c>
      <c r="J6" s="2">
        <v>0</v>
      </c>
      <c r="K6" s="7"/>
      <c r="L6" s="2">
        <v>957.2</v>
      </c>
      <c r="M6" s="2">
        <v>1.7</v>
      </c>
      <c r="N6" s="2">
        <f>710.1+1.6</f>
        <v>711.7</v>
      </c>
      <c r="O6" s="2">
        <v>0</v>
      </c>
      <c r="P6" s="7"/>
      <c r="Q6" s="2">
        <v>939</v>
      </c>
      <c r="R6" s="3">
        <v>1.9</v>
      </c>
      <c r="S6" s="3">
        <f>695.8+5.2</f>
        <v>701</v>
      </c>
      <c r="T6" s="3">
        <v>0</v>
      </c>
      <c r="U6" s="8"/>
      <c r="V6" s="9"/>
      <c r="W6" s="9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5.75" customHeight="1">
      <c r="A7" s="2" t="s">
        <v>18</v>
      </c>
      <c r="B7" s="2">
        <f>3073.6-183.8</f>
        <v>2889.7999999999997</v>
      </c>
      <c r="C7" s="2">
        <v>0</v>
      </c>
      <c r="D7" s="2">
        <f>2703.8+1.4</f>
        <v>2705.2000000000003</v>
      </c>
      <c r="E7" s="2">
        <f>183.8+60</f>
        <v>243.8</v>
      </c>
      <c r="G7" s="2">
        <f>2965-183.8</f>
        <v>2781.2</v>
      </c>
      <c r="H7" s="2">
        <v>0</v>
      </c>
      <c r="I7" s="2">
        <f>2503.6+201.4</f>
        <v>2705</v>
      </c>
      <c r="J7" s="2">
        <f>183.8+60</f>
        <v>243.8</v>
      </c>
      <c r="K7" s="7"/>
      <c r="L7" s="2">
        <f>2960.1-183.8</f>
        <v>2776.2999999999997</v>
      </c>
      <c r="M7" s="2">
        <v>350.3</v>
      </c>
      <c r="N7" s="3">
        <f>2204.7+201.5</f>
        <v>2406.2</v>
      </c>
      <c r="O7" s="2">
        <f>183.8+60</f>
        <v>243.8</v>
      </c>
      <c r="P7" s="7"/>
      <c r="Q7" s="3">
        <f>2958.5-183.8</f>
        <v>2774.7</v>
      </c>
      <c r="R7" s="3">
        <v>190</v>
      </c>
      <c r="S7" s="3">
        <f>2404.5+101.5</f>
        <v>2506</v>
      </c>
      <c r="T7" s="3">
        <f>183.8+60</f>
        <v>243.8</v>
      </c>
      <c r="U7" s="8"/>
      <c r="V7" s="9"/>
      <c r="W7" s="9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5.75" customHeight="1">
      <c r="A8" s="2" t="s">
        <v>19</v>
      </c>
      <c r="B8" s="2">
        <v>12095</v>
      </c>
      <c r="C8" s="2">
        <v>100</v>
      </c>
      <c r="D8" s="2">
        <f>16023+776</f>
        <v>16799</v>
      </c>
      <c r="E8" s="2">
        <v>257</v>
      </c>
      <c r="G8" s="2">
        <v>12146</v>
      </c>
      <c r="H8" s="2">
        <v>0</v>
      </c>
      <c r="I8" s="2">
        <f>15349+895</f>
        <v>16244</v>
      </c>
      <c r="J8" s="2">
        <v>257</v>
      </c>
      <c r="K8" s="7"/>
      <c r="L8" s="2">
        <v>11051</v>
      </c>
      <c r="M8" s="2">
        <v>295</v>
      </c>
      <c r="N8" s="3">
        <f>15364+1254</f>
        <v>16618</v>
      </c>
      <c r="O8" s="2">
        <v>257</v>
      </c>
      <c r="P8" s="7"/>
      <c r="Q8" s="3">
        <v>11185</v>
      </c>
      <c r="R8" s="3">
        <v>1295</v>
      </c>
      <c r="S8" s="3">
        <f>15481+1137</f>
        <v>16618</v>
      </c>
      <c r="T8" s="3">
        <v>257</v>
      </c>
      <c r="U8" s="8"/>
      <c r="V8" s="9"/>
      <c r="W8" s="9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.75" customHeight="1">
      <c r="A9" s="2" t="s">
        <v>20</v>
      </c>
      <c r="B9" s="2">
        <v>22149</v>
      </c>
      <c r="C9" s="2">
        <v>0</v>
      </c>
      <c r="D9" s="2">
        <f>16961+801+242</f>
        <v>18004</v>
      </c>
      <c r="E9" s="2">
        <v>0</v>
      </c>
      <c r="G9" s="2">
        <v>21263</v>
      </c>
      <c r="H9" s="2">
        <v>12</v>
      </c>
      <c r="I9" s="2">
        <f>16414+805+318</f>
        <v>17537</v>
      </c>
      <c r="J9" s="2">
        <v>0</v>
      </c>
      <c r="K9" s="7"/>
      <c r="L9" s="2">
        <v>22048</v>
      </c>
      <c r="M9" s="2">
        <v>12</v>
      </c>
      <c r="N9" s="3">
        <f>15900+586+379</f>
        <v>16865</v>
      </c>
      <c r="O9" s="2">
        <v>0</v>
      </c>
      <c r="P9" s="7"/>
      <c r="Q9" s="3">
        <v>21886</v>
      </c>
      <c r="R9" s="3">
        <v>0</v>
      </c>
      <c r="S9" s="3">
        <f>15732+902+381</f>
        <v>17015</v>
      </c>
      <c r="T9" s="3">
        <v>0</v>
      </c>
      <c r="U9" s="8"/>
      <c r="V9" s="9"/>
      <c r="W9" s="9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5.75" customHeight="1">
      <c r="A10" s="2" t="s">
        <v>21</v>
      </c>
      <c r="B10" s="2">
        <v>1521268</v>
      </c>
      <c r="C10" s="2">
        <v>4000</v>
      </c>
      <c r="D10" s="2">
        <f>1488205+126615</f>
        <v>1614820</v>
      </c>
      <c r="E10" s="2">
        <v>0</v>
      </c>
      <c r="G10" s="2">
        <v>1433840</v>
      </c>
      <c r="H10" s="2">
        <v>17500</v>
      </c>
      <c r="I10" s="2">
        <f>1288802+129800</f>
        <v>1418602</v>
      </c>
      <c r="J10" s="2">
        <v>0</v>
      </c>
      <c r="K10" s="7"/>
      <c r="L10" s="2">
        <v>1406949</v>
      </c>
      <c r="M10" s="2">
        <v>26100</v>
      </c>
      <c r="N10" s="3">
        <f>1290243+131951</f>
        <v>1422194</v>
      </c>
      <c r="O10" s="2">
        <v>0</v>
      </c>
      <c r="P10" s="7"/>
      <c r="Q10" s="3">
        <v>1401544</v>
      </c>
      <c r="R10" s="3">
        <v>53750</v>
      </c>
      <c r="S10" s="3">
        <f>1409730+9340</f>
        <v>1419070</v>
      </c>
      <c r="T10" s="3">
        <v>0</v>
      </c>
      <c r="U10" s="8"/>
      <c r="V10" s="9"/>
      <c r="W10" s="9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.75" customHeight="1">
      <c r="A11" s="2" t="s">
        <v>22</v>
      </c>
      <c r="B11" s="2">
        <v>14151</v>
      </c>
      <c r="C11" s="2">
        <v>1085</v>
      </c>
      <c r="D11" s="2">
        <f>17680+1703</f>
        <v>19383</v>
      </c>
      <c r="E11" s="2">
        <v>0</v>
      </c>
      <c r="G11" s="2">
        <v>13529</v>
      </c>
      <c r="H11" s="2">
        <f>1716+250</f>
        <v>1966</v>
      </c>
      <c r="I11" s="2">
        <f>17171+1056</f>
        <v>18227</v>
      </c>
      <c r="J11" s="2">
        <v>0</v>
      </c>
      <c r="K11" s="7"/>
      <c r="L11" s="2">
        <v>13336</v>
      </c>
      <c r="M11" s="2">
        <f>2517+418</f>
        <v>2935</v>
      </c>
      <c r="N11" s="3">
        <f>16601+977</f>
        <v>17578</v>
      </c>
      <c r="O11" s="2">
        <v>0</v>
      </c>
      <c r="P11" s="7"/>
      <c r="Q11" s="3">
        <v>12967</v>
      </c>
      <c r="R11" s="3">
        <v>2020</v>
      </c>
      <c r="S11" s="3">
        <f>16300+569</f>
        <v>16869</v>
      </c>
      <c r="T11" s="3">
        <v>0</v>
      </c>
      <c r="U11" s="8"/>
      <c r="V11" s="9"/>
      <c r="W11" s="9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.75" customHeight="1">
      <c r="A12" s="2" t="s">
        <v>23</v>
      </c>
      <c r="B12" s="2">
        <v>2248.3</v>
      </c>
      <c r="C12" s="2">
        <v>224</v>
      </c>
      <c r="D12" s="2">
        <f>2372.8</f>
        <v>2372.8</v>
      </c>
      <c r="E12" s="2">
        <v>0</v>
      </c>
      <c r="G12" s="2">
        <v>2119.7</v>
      </c>
      <c r="H12" s="2">
        <v>112.9</v>
      </c>
      <c r="I12" s="2">
        <f>2402.6+0</f>
        <v>2402.6</v>
      </c>
      <c r="J12" s="2">
        <v>0</v>
      </c>
      <c r="K12" s="7"/>
      <c r="L12" s="2">
        <v>2055.7</v>
      </c>
      <c r="M12" s="2">
        <v>341.6</v>
      </c>
      <c r="N12" s="3">
        <f>2204</f>
        <v>2204</v>
      </c>
      <c r="O12" s="2">
        <v>0</v>
      </c>
      <c r="P12" s="7"/>
      <c r="Q12" s="3">
        <v>2060.8</v>
      </c>
      <c r="R12" s="3">
        <v>175</v>
      </c>
      <c r="S12" s="3">
        <f>2088.9+289.2</f>
        <v>2378.1</v>
      </c>
      <c r="T12" s="3">
        <v>0</v>
      </c>
      <c r="U12" s="8"/>
      <c r="V12" s="9"/>
      <c r="W12" s="9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.75" customHeight="1">
      <c r="A13" s="2" t="s">
        <v>24</v>
      </c>
      <c r="B13" s="2">
        <v>1585</v>
      </c>
      <c r="C13" s="2">
        <v>20</v>
      </c>
      <c r="D13" s="2">
        <f>1808+0</f>
        <v>1808</v>
      </c>
      <c r="E13" s="2">
        <v>0</v>
      </c>
      <c r="G13" s="2">
        <v>1557</v>
      </c>
      <c r="H13" s="2">
        <v>0</v>
      </c>
      <c r="I13" s="2">
        <f>1808+0</f>
        <v>1808</v>
      </c>
      <c r="J13" s="2">
        <v>0</v>
      </c>
      <c r="K13" s="7"/>
      <c r="L13" s="2">
        <v>1552</v>
      </c>
      <c r="M13" s="2">
        <v>0</v>
      </c>
      <c r="N13" s="3">
        <f>1750+37</f>
        <v>1787</v>
      </c>
      <c r="O13" s="2">
        <v>0</v>
      </c>
      <c r="P13" s="7"/>
      <c r="Q13" s="3">
        <v>1543</v>
      </c>
      <c r="R13" s="3">
        <v>0</v>
      </c>
      <c r="S13" s="3">
        <f>1558+186</f>
        <v>1744</v>
      </c>
      <c r="T13" s="3">
        <v>0</v>
      </c>
      <c r="U13" s="8"/>
      <c r="V13" s="9"/>
      <c r="W13" s="9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.75" customHeight="1">
      <c r="A14" s="2" t="s">
        <v>25</v>
      </c>
      <c r="B14" s="2">
        <v>10024</v>
      </c>
      <c r="C14" s="2">
        <v>0</v>
      </c>
      <c r="D14" s="2">
        <f>11363+273+1005</f>
        <v>12641</v>
      </c>
      <c r="E14" s="2">
        <v>93</v>
      </c>
      <c r="G14" s="2">
        <v>9859</v>
      </c>
      <c r="H14" s="2">
        <v>0</v>
      </c>
      <c r="I14" s="2">
        <f>11664+272+705</f>
        <v>12641</v>
      </c>
      <c r="J14" s="2">
        <v>93</v>
      </c>
      <c r="K14" s="7"/>
      <c r="L14" s="2">
        <v>9681</v>
      </c>
      <c r="M14" s="2">
        <v>0</v>
      </c>
      <c r="N14" s="3">
        <f>11662+1006</f>
        <v>12668</v>
      </c>
      <c r="O14" s="2">
        <v>93</v>
      </c>
      <c r="P14" s="7"/>
      <c r="Q14" s="3">
        <v>9455</v>
      </c>
      <c r="R14" s="3">
        <v>140</v>
      </c>
      <c r="S14" s="3">
        <f>11779+406+272</f>
        <v>12457</v>
      </c>
      <c r="T14" s="3">
        <v>93</v>
      </c>
      <c r="U14" s="8"/>
      <c r="V14" s="9"/>
      <c r="W14" s="9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.75" customHeight="1">
      <c r="A15" s="2" t="s">
        <v>26</v>
      </c>
      <c r="B15" s="2">
        <v>3584</v>
      </c>
      <c r="C15" s="2">
        <v>335</v>
      </c>
      <c r="D15" s="2">
        <f>3865+631</f>
        <v>4496</v>
      </c>
      <c r="E15" s="2">
        <v>0</v>
      </c>
      <c r="G15" s="2">
        <v>3544</v>
      </c>
      <c r="H15" s="2">
        <v>231</v>
      </c>
      <c r="I15" s="2">
        <f>4021+629</f>
        <v>4650</v>
      </c>
      <c r="J15" s="2">
        <v>0</v>
      </c>
      <c r="K15" s="7"/>
      <c r="L15" s="2">
        <v>3494</v>
      </c>
      <c r="M15" s="2">
        <v>220</v>
      </c>
      <c r="N15" s="3">
        <f>4375+328</f>
        <v>4703</v>
      </c>
      <c r="O15" s="2">
        <v>0</v>
      </c>
      <c r="P15" s="7"/>
      <c r="Q15" s="3">
        <v>3408</v>
      </c>
      <c r="R15" s="3">
        <v>335</v>
      </c>
      <c r="S15" s="3">
        <f>4483+28</f>
        <v>4511</v>
      </c>
      <c r="T15" s="3">
        <v>0</v>
      </c>
      <c r="U15" s="8"/>
      <c r="V15" s="9"/>
      <c r="W15" s="9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.75" customHeight="1">
      <c r="A16" s="2" t="s">
        <v>27</v>
      </c>
      <c r="B16" s="3">
        <f>9007-100</f>
        <v>8907</v>
      </c>
      <c r="C16" s="3">
        <f>574+12</f>
        <v>586</v>
      </c>
      <c r="D16" s="2">
        <f>8032+313</f>
        <v>8345</v>
      </c>
      <c r="E16" s="3">
        <f>100+79</f>
        <v>179</v>
      </c>
      <c r="G16" s="3">
        <f>9410-100</f>
        <v>9310</v>
      </c>
      <c r="H16" s="3">
        <f>923+12</f>
        <v>935</v>
      </c>
      <c r="I16" s="2">
        <f>7562+307</f>
        <v>7869</v>
      </c>
      <c r="J16" s="3">
        <f>100+79</f>
        <v>179</v>
      </c>
      <c r="K16" s="7"/>
      <c r="L16" s="3">
        <f>9295-100</f>
        <v>9195</v>
      </c>
      <c r="M16" s="3">
        <f>912+6</f>
        <v>918</v>
      </c>
      <c r="N16" s="2">
        <f>7198+327</f>
        <v>7525</v>
      </c>
      <c r="O16" s="3">
        <f>100+79</f>
        <v>179</v>
      </c>
      <c r="P16" s="7"/>
      <c r="Q16" s="2">
        <f>9251-100</f>
        <v>9151</v>
      </c>
      <c r="R16" s="3">
        <f>618+29</f>
        <v>647</v>
      </c>
      <c r="S16" s="2">
        <f>7460+573+2</f>
        <v>8035</v>
      </c>
      <c r="T16" s="3">
        <f>100+79</f>
        <v>179</v>
      </c>
      <c r="U16" s="8"/>
      <c r="V16" s="9"/>
      <c r="W16" s="9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.75" customHeight="1">
      <c r="A17" s="2" t="s">
        <v>28</v>
      </c>
      <c r="B17" s="2">
        <v>16254948</v>
      </c>
      <c r="C17" s="2">
        <v>348399</v>
      </c>
      <c r="D17" s="2">
        <f>18198225+1983593</f>
        <v>20181818</v>
      </c>
      <c r="E17" s="2">
        <f>374496+707328</f>
        <v>1081824</v>
      </c>
      <c r="G17" s="2">
        <f>15532961</f>
        <v>15532961</v>
      </c>
      <c r="H17" s="2">
        <v>881638</v>
      </c>
      <c r="I17" s="2">
        <f>18134554+1514465</f>
        <v>19649019</v>
      </c>
      <c r="J17" s="2">
        <f>707328+374496</f>
        <v>1081824</v>
      </c>
      <c r="K17" s="7"/>
      <c r="L17" s="2">
        <v>15194847</v>
      </c>
      <c r="M17" s="2">
        <v>769967</v>
      </c>
      <c r="N17" s="2">
        <f>18097952+1243596</f>
        <v>19341548</v>
      </c>
      <c r="O17" s="2">
        <f>707328+374496</f>
        <v>1081824</v>
      </c>
      <c r="Q17" s="3">
        <v>14877334</v>
      </c>
      <c r="R17" s="3">
        <v>639199</v>
      </c>
      <c r="S17" s="3">
        <f>18131244+1112705</f>
        <v>19243949</v>
      </c>
      <c r="T17" s="3">
        <f>707328+374496</f>
        <v>1081824</v>
      </c>
      <c r="U17" s="8"/>
      <c r="V17" s="9"/>
      <c r="W17" s="9"/>
      <c r="X17" s="10"/>
      <c r="Y17" s="10"/>
      <c r="Z17" s="10"/>
      <c r="AA17" s="3"/>
      <c r="AB17" s="3"/>
      <c r="AC17" s="3"/>
      <c r="AD17" s="3"/>
      <c r="AE17" s="3"/>
      <c r="AF17" s="3"/>
      <c r="AG17" s="3"/>
      <c r="AH17" s="3"/>
    </row>
    <row r="18" spans="1:34" ht="15.75" customHeight="1">
      <c r="A18" s="2" t="s">
        <v>29</v>
      </c>
      <c r="B18" s="2">
        <v>1410.8</v>
      </c>
      <c r="C18" s="2">
        <v>157.3</v>
      </c>
      <c r="D18" s="2">
        <f>1590.3+48.2</f>
        <v>1638.5</v>
      </c>
      <c r="E18" s="2">
        <v>0</v>
      </c>
      <c r="G18" s="2">
        <v>1419.1</v>
      </c>
      <c r="H18" s="2">
        <v>145.6</v>
      </c>
      <c r="I18" s="2">
        <f>1549.4+49.1+41.3</f>
        <v>1639.8</v>
      </c>
      <c r="J18" s="2">
        <v>0</v>
      </c>
      <c r="K18" s="7"/>
      <c r="L18" s="2">
        <v>1430</v>
      </c>
      <c r="M18" s="2">
        <v>164.3</v>
      </c>
      <c r="N18" s="2">
        <f>1549.9+48+41.3</f>
        <v>1639.2</v>
      </c>
      <c r="O18" s="2">
        <v>0</v>
      </c>
      <c r="P18" s="7"/>
      <c r="Q18" s="3">
        <v>1397.2</v>
      </c>
      <c r="R18" s="3">
        <v>213.5</v>
      </c>
      <c r="S18" s="3">
        <f>1540.5+48+51.3</f>
        <v>1639.8</v>
      </c>
      <c r="T18" s="3">
        <v>0</v>
      </c>
      <c r="U18" s="8"/>
      <c r="V18" s="9"/>
      <c r="W18" s="9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.75" customHeight="1">
      <c r="A19" s="2" t="s">
        <v>30</v>
      </c>
      <c r="B19" s="2">
        <v>3727.7</v>
      </c>
      <c r="C19" s="2">
        <v>518.6</v>
      </c>
      <c r="D19" s="2">
        <f>3935.7+472.7</f>
        <v>4408.4</v>
      </c>
      <c r="E19" s="2">
        <v>30.4</v>
      </c>
      <c r="G19" s="2">
        <v>3677.1</v>
      </c>
      <c r="H19" s="2">
        <v>520.4</v>
      </c>
      <c r="I19" s="2">
        <f>3942.6+493.3</f>
        <v>4435.9</v>
      </c>
      <c r="J19" s="2">
        <v>30.4</v>
      </c>
      <c r="K19" s="7"/>
      <c r="L19" s="2">
        <v>3641.8</v>
      </c>
      <c r="M19" s="2">
        <v>478</v>
      </c>
      <c r="N19" s="2">
        <f>4396.1+42.7</f>
        <v>4438.8</v>
      </c>
      <c r="O19" s="2">
        <v>30.4</v>
      </c>
      <c r="P19" s="7"/>
      <c r="Q19" s="3">
        <v>3566.9</v>
      </c>
      <c r="R19" s="3">
        <v>825.1</v>
      </c>
      <c r="S19" s="3">
        <f>3875.8+295.7</f>
        <v>4171.5</v>
      </c>
      <c r="T19" s="3">
        <v>30.4</v>
      </c>
      <c r="U19" s="8"/>
      <c r="V19" s="9"/>
      <c r="W19" s="9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.75" customHeight="1">
      <c r="A20" s="2" t="s">
        <v>31</v>
      </c>
      <c r="B20" s="2">
        <v>7605677</v>
      </c>
      <c r="C20" s="2">
        <v>40000</v>
      </c>
      <c r="D20" s="2">
        <f>8864759+414443</f>
        <v>9279202</v>
      </c>
      <c r="E20" s="2">
        <v>104980</v>
      </c>
      <c r="G20" s="2">
        <v>7391822</v>
      </c>
      <c r="H20" s="2">
        <v>129000</v>
      </c>
      <c r="I20" s="2">
        <f>8409815+545637</f>
        <v>8955452</v>
      </c>
      <c r="J20" s="2">
        <v>104980</v>
      </c>
      <c r="K20" s="7"/>
      <c r="L20" s="2">
        <v>7355871</v>
      </c>
      <c r="M20" s="2">
        <v>466000</v>
      </c>
      <c r="N20" s="2">
        <f>7862888+544356</f>
        <v>8407244</v>
      </c>
      <c r="O20" s="2">
        <v>104980</v>
      </c>
      <c r="P20" s="7"/>
      <c r="Q20" s="3">
        <v>7283245</v>
      </c>
      <c r="R20" s="3">
        <v>459000</v>
      </c>
      <c r="S20" s="3">
        <f>7888628+543814</f>
        <v>8432442</v>
      </c>
      <c r="T20" s="3">
        <v>104980</v>
      </c>
      <c r="U20" s="8"/>
      <c r="V20" s="9"/>
      <c r="W20" s="9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7:24" ht="15.75" customHeight="1">
      <c r="Q21" s="3"/>
      <c r="R21" s="3"/>
      <c r="V21" s="11"/>
      <c r="W21" s="11"/>
      <c r="X21" s="11"/>
    </row>
    <row r="22" spans="22:24" ht="15.75" customHeight="1">
      <c r="V22" s="3"/>
      <c r="W22" s="3"/>
      <c r="X22" s="3"/>
    </row>
    <row r="23" spans="2:21" ht="15.75" customHeight="1">
      <c r="B23" s="15" t="s">
        <v>7</v>
      </c>
      <c r="C23" s="15"/>
      <c r="D23" s="15"/>
      <c r="E23" s="15"/>
      <c r="G23" s="15" t="s">
        <v>8</v>
      </c>
      <c r="H23" s="15"/>
      <c r="I23" s="15"/>
      <c r="J23" s="15"/>
      <c r="L23" s="15"/>
      <c r="M23" s="15"/>
      <c r="N23" s="15"/>
      <c r="O23" s="15"/>
      <c r="Q23" s="15"/>
      <c r="R23" s="15"/>
      <c r="S23" s="15"/>
      <c r="T23" s="15"/>
      <c r="U23" s="3"/>
    </row>
    <row r="24" spans="2:21" ht="15.75" customHeight="1">
      <c r="B24" s="16" t="s">
        <v>1</v>
      </c>
      <c r="C24" s="16"/>
      <c r="D24" s="16"/>
      <c r="E24" s="16"/>
      <c r="G24" s="16" t="s">
        <v>1</v>
      </c>
      <c r="H24" s="16"/>
      <c r="I24" s="16"/>
      <c r="J24" s="16"/>
      <c r="L24" s="16"/>
      <c r="M24" s="16"/>
      <c r="N24" s="16"/>
      <c r="O24" s="16"/>
      <c r="Q24" s="16"/>
      <c r="R24" s="16"/>
      <c r="S24" s="16"/>
      <c r="T24" s="16"/>
      <c r="U24" s="3"/>
    </row>
    <row r="25" spans="2:21" ht="15.75" customHeight="1">
      <c r="B25" s="4" t="s">
        <v>9</v>
      </c>
      <c r="C25" s="4" t="s">
        <v>0</v>
      </c>
      <c r="D25" s="4" t="s">
        <v>10</v>
      </c>
      <c r="E25" s="4" t="s">
        <v>12</v>
      </c>
      <c r="F25" s="4"/>
      <c r="G25" s="4" t="s">
        <v>9</v>
      </c>
      <c r="H25" s="4" t="s">
        <v>0</v>
      </c>
      <c r="I25" s="4" t="s">
        <v>10</v>
      </c>
      <c r="J25" s="4" t="s">
        <v>12</v>
      </c>
      <c r="K25" s="4"/>
      <c r="M25" s="4"/>
      <c r="N25" s="4"/>
      <c r="O25" s="4"/>
      <c r="P25" s="4"/>
      <c r="R25" s="4"/>
      <c r="S25" s="4"/>
      <c r="T25" s="4"/>
      <c r="U25" s="4"/>
    </row>
    <row r="26" spans="3:11" ht="15.75" customHeight="1">
      <c r="C26" s="3"/>
      <c r="D26" s="3"/>
      <c r="E26" s="3"/>
      <c r="F26" s="3"/>
      <c r="G26" s="3"/>
      <c r="H26" s="3"/>
      <c r="I26" s="3"/>
      <c r="J26" s="3"/>
      <c r="K26" s="3"/>
    </row>
    <row r="27" spans="3:11" ht="15.75" customHeight="1">
      <c r="C27" s="3"/>
      <c r="D27" s="3"/>
      <c r="E27" s="3"/>
      <c r="F27" s="3"/>
      <c r="G27" s="3"/>
      <c r="H27" s="3"/>
      <c r="I27" s="3"/>
      <c r="J27" s="3"/>
      <c r="K27" s="3"/>
    </row>
    <row r="28" spans="1:21" ht="15.75" customHeight="1">
      <c r="A28" s="2" t="s">
        <v>17</v>
      </c>
      <c r="B28" s="2">
        <f>SUM(B6:E6)</f>
        <v>1770.9</v>
      </c>
      <c r="C28" s="3">
        <f>SUM(G6:J6)</f>
        <v>1684.2</v>
      </c>
      <c r="D28" s="3">
        <f>SUM(L6:O6)</f>
        <v>1670.6000000000001</v>
      </c>
      <c r="E28" s="3">
        <f>SUM(Q6:T6)</f>
        <v>1641.9</v>
      </c>
      <c r="F28" s="3"/>
      <c r="G28" s="3">
        <f>SUM(B6,D6:E6)</f>
        <v>1769.9</v>
      </c>
      <c r="H28" s="3">
        <f>SUM(G6,I6:J6)</f>
        <v>1682.8000000000002</v>
      </c>
      <c r="I28" s="3">
        <f>SUM(L6,N6:O6)</f>
        <v>1668.9</v>
      </c>
      <c r="J28" s="3">
        <f>SUM(Q6,S6:T6)</f>
        <v>1640</v>
      </c>
      <c r="K28" s="3"/>
      <c r="P28" s="11"/>
      <c r="U28" s="11"/>
    </row>
    <row r="29" spans="1:21" ht="15.75" customHeight="1">
      <c r="A29" s="2" t="s">
        <v>18</v>
      </c>
      <c r="B29" s="2">
        <f aca="true" t="shared" si="0" ref="B29:B42">SUM(B7:E7)</f>
        <v>5838.8</v>
      </c>
      <c r="C29" s="3">
        <f aca="true" t="shared" si="1" ref="C29:C42">SUM(G7:J7)</f>
        <v>5730</v>
      </c>
      <c r="D29" s="3">
        <f aca="true" t="shared" si="2" ref="D29:D42">SUM(L7:O7)</f>
        <v>5776.599999999999</v>
      </c>
      <c r="E29" s="3">
        <f aca="true" t="shared" si="3" ref="E29:E42">SUM(Q7:T7)</f>
        <v>5714.5</v>
      </c>
      <c r="F29" s="3"/>
      <c r="G29" s="3">
        <f aca="true" t="shared" si="4" ref="G29:G42">SUM(B7,D7:E7)</f>
        <v>5838.8</v>
      </c>
      <c r="H29" s="3">
        <f aca="true" t="shared" si="5" ref="H29:H42">SUM(G7,I7:J7)</f>
        <v>5730</v>
      </c>
      <c r="I29" s="3">
        <f aca="true" t="shared" si="6" ref="I29:I42">SUM(L7,N7:O7)</f>
        <v>5426.3</v>
      </c>
      <c r="J29" s="3">
        <f aca="true" t="shared" si="7" ref="J29:J42">SUM(Q7,S7:T7)</f>
        <v>5524.5</v>
      </c>
      <c r="K29" s="3"/>
      <c r="P29" s="11"/>
      <c r="U29" s="11"/>
    </row>
    <row r="30" spans="1:21" ht="15.75" customHeight="1">
      <c r="A30" s="2" t="s">
        <v>19</v>
      </c>
      <c r="B30" s="2">
        <f t="shared" si="0"/>
        <v>29251</v>
      </c>
      <c r="C30" s="3">
        <f t="shared" si="1"/>
        <v>28647</v>
      </c>
      <c r="D30" s="3">
        <f t="shared" si="2"/>
        <v>28221</v>
      </c>
      <c r="E30" s="3">
        <f t="shared" si="3"/>
        <v>29355</v>
      </c>
      <c r="F30" s="3"/>
      <c r="G30" s="3">
        <f t="shared" si="4"/>
        <v>29151</v>
      </c>
      <c r="H30" s="3">
        <f t="shared" si="5"/>
        <v>28647</v>
      </c>
      <c r="I30" s="3">
        <f t="shared" si="6"/>
        <v>27926</v>
      </c>
      <c r="J30" s="3">
        <f t="shared" si="7"/>
        <v>28060</v>
      </c>
      <c r="K30" s="3"/>
      <c r="P30" s="11"/>
      <c r="U30" s="11"/>
    </row>
    <row r="31" spans="1:21" ht="15.75" customHeight="1">
      <c r="A31" s="2" t="s">
        <v>20</v>
      </c>
      <c r="B31" s="2">
        <f t="shared" si="0"/>
        <v>40153</v>
      </c>
      <c r="C31" s="3">
        <f t="shared" si="1"/>
        <v>38812</v>
      </c>
      <c r="D31" s="3">
        <f t="shared" si="2"/>
        <v>38925</v>
      </c>
      <c r="E31" s="3">
        <f t="shared" si="3"/>
        <v>38901</v>
      </c>
      <c r="F31" s="3"/>
      <c r="G31" s="3">
        <f t="shared" si="4"/>
        <v>40153</v>
      </c>
      <c r="H31" s="3">
        <f t="shared" si="5"/>
        <v>38800</v>
      </c>
      <c r="I31" s="3">
        <f t="shared" si="6"/>
        <v>38913</v>
      </c>
      <c r="J31" s="3">
        <f t="shared" si="7"/>
        <v>38901</v>
      </c>
      <c r="K31" s="3"/>
      <c r="P31" s="11"/>
      <c r="U31" s="11"/>
    </row>
    <row r="32" spans="1:21" ht="15.75" customHeight="1">
      <c r="A32" s="2" t="s">
        <v>21</v>
      </c>
      <c r="B32" s="2">
        <f t="shared" si="0"/>
        <v>3140088</v>
      </c>
      <c r="C32" s="3">
        <f t="shared" si="1"/>
        <v>2869942</v>
      </c>
      <c r="D32" s="3">
        <f t="shared" si="2"/>
        <v>2855243</v>
      </c>
      <c r="E32" s="3">
        <f t="shared" si="3"/>
        <v>2874364</v>
      </c>
      <c r="F32" s="3"/>
      <c r="G32" s="3">
        <f t="shared" si="4"/>
        <v>3136088</v>
      </c>
      <c r="H32" s="3">
        <f t="shared" si="5"/>
        <v>2852442</v>
      </c>
      <c r="I32" s="3">
        <f t="shared" si="6"/>
        <v>2829143</v>
      </c>
      <c r="J32" s="3">
        <f t="shared" si="7"/>
        <v>2820614</v>
      </c>
      <c r="K32" s="3"/>
      <c r="P32" s="11"/>
      <c r="U32" s="11"/>
    </row>
    <row r="33" spans="1:21" ht="15.75" customHeight="1">
      <c r="A33" s="2" t="s">
        <v>22</v>
      </c>
      <c r="B33" s="2">
        <f t="shared" si="0"/>
        <v>34619</v>
      </c>
      <c r="C33" s="3">
        <f t="shared" si="1"/>
        <v>33722</v>
      </c>
      <c r="D33" s="3">
        <f t="shared" si="2"/>
        <v>33849</v>
      </c>
      <c r="E33" s="3">
        <f t="shared" si="3"/>
        <v>31856</v>
      </c>
      <c r="F33" s="3"/>
      <c r="G33" s="3">
        <f t="shared" si="4"/>
        <v>33534</v>
      </c>
      <c r="H33" s="3">
        <f t="shared" si="5"/>
        <v>31756</v>
      </c>
      <c r="I33" s="3">
        <f t="shared" si="6"/>
        <v>30914</v>
      </c>
      <c r="J33" s="3">
        <f t="shared" si="7"/>
        <v>29836</v>
      </c>
      <c r="K33" s="3"/>
      <c r="P33" s="11"/>
      <c r="U33" s="11"/>
    </row>
    <row r="34" spans="1:21" ht="15.75" customHeight="1">
      <c r="A34" s="2" t="s">
        <v>23</v>
      </c>
      <c r="B34" s="2">
        <f t="shared" si="0"/>
        <v>4845.1</v>
      </c>
      <c r="C34" s="3">
        <f t="shared" si="1"/>
        <v>4635.2</v>
      </c>
      <c r="D34" s="3">
        <f t="shared" si="2"/>
        <v>4601.299999999999</v>
      </c>
      <c r="E34" s="3">
        <f t="shared" si="3"/>
        <v>4613.9</v>
      </c>
      <c r="F34" s="3"/>
      <c r="G34" s="3">
        <f t="shared" si="4"/>
        <v>4621.1</v>
      </c>
      <c r="H34" s="3">
        <f t="shared" si="5"/>
        <v>4522.299999999999</v>
      </c>
      <c r="I34" s="3">
        <f t="shared" si="6"/>
        <v>4259.7</v>
      </c>
      <c r="J34" s="3">
        <f t="shared" si="7"/>
        <v>4438.9</v>
      </c>
      <c r="K34" s="3"/>
      <c r="P34" s="11"/>
      <c r="U34" s="11"/>
    </row>
    <row r="35" spans="1:21" ht="15.75" customHeight="1">
      <c r="A35" s="2" t="s">
        <v>24</v>
      </c>
      <c r="B35" s="2">
        <f t="shared" si="0"/>
        <v>3413</v>
      </c>
      <c r="C35" s="3">
        <f t="shared" si="1"/>
        <v>3365</v>
      </c>
      <c r="D35" s="3">
        <f t="shared" si="2"/>
        <v>3339</v>
      </c>
      <c r="E35" s="3">
        <f t="shared" si="3"/>
        <v>3287</v>
      </c>
      <c r="F35" s="3"/>
      <c r="G35" s="3">
        <f t="shared" si="4"/>
        <v>3393</v>
      </c>
      <c r="H35" s="3">
        <f t="shared" si="5"/>
        <v>3365</v>
      </c>
      <c r="I35" s="3">
        <f t="shared" si="6"/>
        <v>3339</v>
      </c>
      <c r="J35" s="3">
        <f t="shared" si="7"/>
        <v>3287</v>
      </c>
      <c r="K35" s="3"/>
      <c r="P35" s="11"/>
      <c r="U35" s="11"/>
    </row>
    <row r="36" spans="1:21" ht="15.75" customHeight="1">
      <c r="A36" s="2" t="s">
        <v>25</v>
      </c>
      <c r="B36" s="2">
        <f t="shared" si="0"/>
        <v>22758</v>
      </c>
      <c r="C36" s="3">
        <f t="shared" si="1"/>
        <v>22593</v>
      </c>
      <c r="D36" s="3">
        <f t="shared" si="2"/>
        <v>22442</v>
      </c>
      <c r="E36" s="3">
        <f t="shared" si="3"/>
        <v>22145</v>
      </c>
      <c r="F36" s="3"/>
      <c r="G36" s="3">
        <f t="shared" si="4"/>
        <v>22758</v>
      </c>
      <c r="H36" s="3">
        <f t="shared" si="5"/>
        <v>22593</v>
      </c>
      <c r="I36" s="3">
        <f t="shared" si="6"/>
        <v>22442</v>
      </c>
      <c r="J36" s="3">
        <f t="shared" si="7"/>
        <v>22005</v>
      </c>
      <c r="K36" s="3"/>
      <c r="P36" s="11"/>
      <c r="U36" s="11"/>
    </row>
    <row r="37" spans="1:21" ht="15.75" customHeight="1">
      <c r="A37" s="2" t="s">
        <v>26</v>
      </c>
      <c r="B37" s="2">
        <f t="shared" si="0"/>
        <v>8415</v>
      </c>
      <c r="C37" s="3">
        <f t="shared" si="1"/>
        <v>8425</v>
      </c>
      <c r="D37" s="3">
        <f t="shared" si="2"/>
        <v>8417</v>
      </c>
      <c r="E37" s="3">
        <f t="shared" si="3"/>
        <v>8254</v>
      </c>
      <c r="F37" s="3"/>
      <c r="G37" s="3">
        <f t="shared" si="4"/>
        <v>8080</v>
      </c>
      <c r="H37" s="3">
        <f t="shared" si="5"/>
        <v>8194</v>
      </c>
      <c r="I37" s="3">
        <f t="shared" si="6"/>
        <v>8197</v>
      </c>
      <c r="J37" s="3">
        <f t="shared" si="7"/>
        <v>7919</v>
      </c>
      <c r="K37" s="3"/>
      <c r="P37" s="11"/>
      <c r="U37" s="11"/>
    </row>
    <row r="38" spans="1:21" ht="15.75" customHeight="1">
      <c r="A38" s="2" t="s">
        <v>27</v>
      </c>
      <c r="B38" s="2">
        <f t="shared" si="0"/>
        <v>18017</v>
      </c>
      <c r="C38" s="3">
        <f t="shared" si="1"/>
        <v>18293</v>
      </c>
      <c r="D38" s="3">
        <f t="shared" si="2"/>
        <v>17817</v>
      </c>
      <c r="E38" s="3">
        <f t="shared" si="3"/>
        <v>18012</v>
      </c>
      <c r="F38" s="3"/>
      <c r="G38" s="3">
        <f t="shared" si="4"/>
        <v>17431</v>
      </c>
      <c r="H38" s="3">
        <f t="shared" si="5"/>
        <v>17358</v>
      </c>
      <c r="I38" s="3">
        <f t="shared" si="6"/>
        <v>16899</v>
      </c>
      <c r="J38" s="3">
        <f t="shared" si="7"/>
        <v>17365</v>
      </c>
      <c r="K38" s="3"/>
      <c r="P38" s="11"/>
      <c r="U38" s="11"/>
    </row>
    <row r="39" spans="1:21" ht="15.75" customHeight="1">
      <c r="A39" s="2" t="s">
        <v>28</v>
      </c>
      <c r="B39" s="2">
        <f t="shared" si="0"/>
        <v>37866989</v>
      </c>
      <c r="C39" s="3">
        <f t="shared" si="1"/>
        <v>37145442</v>
      </c>
      <c r="D39" s="3">
        <f t="shared" si="2"/>
        <v>36388186</v>
      </c>
      <c r="E39" s="3">
        <f t="shared" si="3"/>
        <v>35842306</v>
      </c>
      <c r="F39" s="3"/>
      <c r="G39" s="3">
        <f t="shared" si="4"/>
        <v>37518590</v>
      </c>
      <c r="H39" s="3">
        <f t="shared" si="5"/>
        <v>36263804</v>
      </c>
      <c r="I39" s="3">
        <f t="shared" si="6"/>
        <v>35618219</v>
      </c>
      <c r="J39" s="3">
        <f t="shared" si="7"/>
        <v>35203107</v>
      </c>
      <c r="K39" s="3"/>
      <c r="P39" s="11"/>
      <c r="U39" s="11"/>
    </row>
    <row r="40" spans="1:21" ht="15.75" customHeight="1">
      <c r="A40" s="2" t="s">
        <v>29</v>
      </c>
      <c r="B40" s="2">
        <f t="shared" si="0"/>
        <v>3206.6</v>
      </c>
      <c r="C40" s="3">
        <f t="shared" si="1"/>
        <v>3204.5</v>
      </c>
      <c r="D40" s="3">
        <f t="shared" si="2"/>
        <v>3233.5</v>
      </c>
      <c r="E40" s="3">
        <f t="shared" si="3"/>
        <v>3250.5</v>
      </c>
      <c r="F40" s="3"/>
      <c r="G40" s="3">
        <f t="shared" si="4"/>
        <v>3049.3</v>
      </c>
      <c r="H40" s="3">
        <f t="shared" si="5"/>
        <v>3058.8999999999996</v>
      </c>
      <c r="I40" s="3">
        <f t="shared" si="6"/>
        <v>3069.2</v>
      </c>
      <c r="J40" s="3">
        <f t="shared" si="7"/>
        <v>3037</v>
      </c>
      <c r="K40" s="3"/>
      <c r="P40" s="11"/>
      <c r="U40" s="11"/>
    </row>
    <row r="41" spans="1:21" ht="15.75" customHeight="1">
      <c r="A41" s="2" t="s">
        <v>30</v>
      </c>
      <c r="B41" s="2">
        <f t="shared" si="0"/>
        <v>8685.1</v>
      </c>
      <c r="C41" s="3">
        <f t="shared" si="1"/>
        <v>8663.8</v>
      </c>
      <c r="D41" s="3">
        <f t="shared" si="2"/>
        <v>8589</v>
      </c>
      <c r="E41" s="3">
        <f t="shared" si="3"/>
        <v>8593.9</v>
      </c>
      <c r="F41" s="3"/>
      <c r="G41" s="3">
        <f t="shared" si="4"/>
        <v>8166.499999999999</v>
      </c>
      <c r="H41" s="3">
        <f t="shared" si="5"/>
        <v>8143.4</v>
      </c>
      <c r="I41" s="3">
        <f t="shared" si="6"/>
        <v>8111</v>
      </c>
      <c r="J41" s="3">
        <f t="shared" si="7"/>
        <v>7768.799999999999</v>
      </c>
      <c r="K41" s="3"/>
      <c r="P41" s="11"/>
      <c r="U41" s="11"/>
    </row>
    <row r="42" spans="1:21" ht="15.75" customHeight="1">
      <c r="A42" s="2" t="s">
        <v>31</v>
      </c>
      <c r="B42" s="2">
        <f t="shared" si="0"/>
        <v>17029859</v>
      </c>
      <c r="C42" s="3">
        <f t="shared" si="1"/>
        <v>16581254</v>
      </c>
      <c r="D42" s="3">
        <f t="shared" si="2"/>
        <v>16334095</v>
      </c>
      <c r="E42" s="3">
        <f t="shared" si="3"/>
        <v>16279667</v>
      </c>
      <c r="F42" s="3"/>
      <c r="G42" s="3">
        <f t="shared" si="4"/>
        <v>16989859</v>
      </c>
      <c r="H42" s="3">
        <f t="shared" si="5"/>
        <v>16452254</v>
      </c>
      <c r="I42" s="3">
        <f t="shared" si="6"/>
        <v>15868095</v>
      </c>
      <c r="J42" s="3">
        <f t="shared" si="7"/>
        <v>15820667</v>
      </c>
      <c r="K42" s="3"/>
      <c r="P42" s="11"/>
      <c r="U42" s="11"/>
    </row>
    <row r="43" spans="16:18" ht="15.75" customHeight="1">
      <c r="P43" s="3"/>
      <c r="Q43" s="3"/>
      <c r="R43" s="3"/>
    </row>
    <row r="44" spans="1:21" ht="15.75" customHeight="1">
      <c r="A44" s="1" t="s">
        <v>11</v>
      </c>
      <c r="B44" s="1" t="s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3"/>
    </row>
    <row r="45" spans="1:21" ht="15.75" customHeight="1">
      <c r="A45" s="2" t="s">
        <v>17</v>
      </c>
      <c r="B45" s="12">
        <f>(B6/$B28)*100</f>
        <v>55.57061381218589</v>
      </c>
      <c r="C45" s="12">
        <f>(C6/$B28)*100</f>
        <v>0.05646846236376983</v>
      </c>
      <c r="D45" s="12">
        <f>(D6/$B28)*100</f>
        <v>44.37291772545034</v>
      </c>
      <c r="E45" s="12">
        <f>(E6/$B28)*100</f>
        <v>0</v>
      </c>
      <c r="G45" s="12">
        <f>(G6/$C28)*100</f>
        <v>57.68911055694098</v>
      </c>
      <c r="H45" s="12">
        <f>(H6/$C28)*100</f>
        <v>0.08312551953449708</v>
      </c>
      <c r="I45" s="12">
        <f>(I6/$C28)*100</f>
        <v>42.22776392352453</v>
      </c>
      <c r="J45" s="12">
        <f>(J6/$C28)*100</f>
        <v>0</v>
      </c>
      <c r="L45" s="12">
        <f>(L6/$D28)*100</f>
        <v>57.29677960014365</v>
      </c>
      <c r="M45" s="12">
        <f>(M6/$D28)*100</f>
        <v>0.10175984676164251</v>
      </c>
      <c r="N45" s="12">
        <f>(N6/$D28)*100</f>
        <v>42.6014605530947</v>
      </c>
      <c r="O45" s="12">
        <f>(O6/$D28)*100</f>
        <v>0</v>
      </c>
      <c r="Q45" s="12">
        <f>(Q6/$E28)*100</f>
        <v>57.189841037822035</v>
      </c>
      <c r="R45" s="12">
        <f>(R6/$E28)*100</f>
        <v>0.1157195931542725</v>
      </c>
      <c r="S45" s="12">
        <f>(S6/$E28)*100</f>
        <v>42.69443936902369</v>
      </c>
      <c r="T45" s="12">
        <f>(T6/$E28)*100</f>
        <v>0</v>
      </c>
      <c r="U45" s="3"/>
    </row>
    <row r="46" spans="1:21" ht="15.75" customHeight="1">
      <c r="A46" s="2" t="s">
        <v>18</v>
      </c>
      <c r="B46" s="12">
        <f aca="true" t="shared" si="8" ref="B46:E59">(B7/$B29)*100</f>
        <v>49.493046516407475</v>
      </c>
      <c r="C46" s="12">
        <f t="shared" si="8"/>
        <v>0</v>
      </c>
      <c r="D46" s="12">
        <f t="shared" si="8"/>
        <v>46.331437966705494</v>
      </c>
      <c r="E46" s="12">
        <f t="shared" si="8"/>
        <v>4.175515516887032</v>
      </c>
      <c r="G46" s="12">
        <f aca="true" t="shared" si="9" ref="G46:J59">(G7/$C29)*100</f>
        <v>48.53752181500872</v>
      </c>
      <c r="H46" s="12">
        <f t="shared" si="9"/>
        <v>0</v>
      </c>
      <c r="I46" s="12">
        <f t="shared" si="9"/>
        <v>47.20767888307155</v>
      </c>
      <c r="J46" s="12">
        <f t="shared" si="9"/>
        <v>4.254799301919721</v>
      </c>
      <c r="L46" s="12">
        <f aca="true" t="shared" si="10" ref="L46:O59">(L7/$D29)*100</f>
        <v>48.06114323304366</v>
      </c>
      <c r="M46" s="12">
        <f t="shared" si="10"/>
        <v>6.064120763078628</v>
      </c>
      <c r="N46" s="12">
        <f t="shared" si="10"/>
        <v>41.65426029152097</v>
      </c>
      <c r="O46" s="12">
        <f t="shared" si="10"/>
        <v>4.22047571235675</v>
      </c>
      <c r="Q46" s="12">
        <f aca="true" t="shared" si="11" ref="Q46:T59">(Q7/$E29)*100</f>
        <v>48.55542917140607</v>
      </c>
      <c r="R46" s="12">
        <f t="shared" si="11"/>
        <v>3.324875317175606</v>
      </c>
      <c r="S46" s="12">
        <f t="shared" si="11"/>
        <v>43.853355499168785</v>
      </c>
      <c r="T46" s="12">
        <f t="shared" si="11"/>
        <v>4.2663400122495405</v>
      </c>
      <c r="U46" s="3"/>
    </row>
    <row r="47" spans="1:21" ht="15.75" customHeight="1">
      <c r="A47" s="2" t="s">
        <v>19</v>
      </c>
      <c r="B47" s="12">
        <f t="shared" si="8"/>
        <v>41.34901370893303</v>
      </c>
      <c r="C47" s="12">
        <f t="shared" si="8"/>
        <v>0.34186865406310896</v>
      </c>
      <c r="D47" s="12">
        <f t="shared" si="8"/>
        <v>57.43051519606167</v>
      </c>
      <c r="E47" s="12">
        <f t="shared" si="8"/>
        <v>0.8786024409421901</v>
      </c>
      <c r="G47" s="12">
        <f t="shared" si="9"/>
        <v>42.39885502844975</v>
      </c>
      <c r="H47" s="12">
        <f t="shared" si="9"/>
        <v>0</v>
      </c>
      <c r="I47" s="12">
        <f t="shared" si="9"/>
        <v>56.704017872726645</v>
      </c>
      <c r="J47" s="12">
        <f t="shared" si="9"/>
        <v>0.8971270988236116</v>
      </c>
      <c r="L47" s="12">
        <f t="shared" si="10"/>
        <v>39.158782466957234</v>
      </c>
      <c r="M47" s="12">
        <f t="shared" si="10"/>
        <v>1.04532086035222</v>
      </c>
      <c r="N47" s="12">
        <f t="shared" si="10"/>
        <v>58.88522731299387</v>
      </c>
      <c r="O47" s="12">
        <f t="shared" si="10"/>
        <v>0.9106693596966798</v>
      </c>
      <c r="Q47" s="12">
        <f t="shared" si="11"/>
        <v>38.10253789814342</v>
      </c>
      <c r="R47" s="12">
        <f t="shared" si="11"/>
        <v>4.411514222449328</v>
      </c>
      <c r="S47" s="12">
        <f t="shared" si="11"/>
        <v>56.61045818429569</v>
      </c>
      <c r="T47" s="12">
        <f t="shared" si="11"/>
        <v>0.8754896951115653</v>
      </c>
      <c r="U47" s="3"/>
    </row>
    <row r="48" spans="1:21" ht="15.75" customHeight="1">
      <c r="A48" s="2" t="s">
        <v>20</v>
      </c>
      <c r="B48" s="12">
        <f t="shared" si="8"/>
        <v>55.16150723482679</v>
      </c>
      <c r="C48" s="12">
        <f t="shared" si="8"/>
        <v>0</v>
      </c>
      <c r="D48" s="12">
        <f t="shared" si="8"/>
        <v>44.83849276517321</v>
      </c>
      <c r="E48" s="12">
        <f t="shared" si="8"/>
        <v>0</v>
      </c>
      <c r="G48" s="12">
        <f t="shared" si="9"/>
        <v>54.78460270019582</v>
      </c>
      <c r="H48" s="12">
        <f t="shared" si="9"/>
        <v>0.03091827269916521</v>
      </c>
      <c r="I48" s="12">
        <f t="shared" si="9"/>
        <v>45.18447902710502</v>
      </c>
      <c r="J48" s="12">
        <f t="shared" si="9"/>
        <v>0</v>
      </c>
      <c r="L48" s="12">
        <f t="shared" si="10"/>
        <v>56.64226075786769</v>
      </c>
      <c r="M48" s="12">
        <f t="shared" si="10"/>
        <v>0.03082851637764933</v>
      </c>
      <c r="N48" s="12">
        <f t="shared" si="10"/>
        <v>43.32691072575466</v>
      </c>
      <c r="O48" s="12">
        <f t="shared" si="10"/>
        <v>0</v>
      </c>
      <c r="Q48" s="12">
        <f t="shared" si="11"/>
        <v>56.26076450476851</v>
      </c>
      <c r="R48" s="12">
        <f t="shared" si="11"/>
        <v>0</v>
      </c>
      <c r="S48" s="12">
        <f t="shared" si="11"/>
        <v>43.73923549523149</v>
      </c>
      <c r="T48" s="12">
        <f t="shared" si="11"/>
        <v>0</v>
      </c>
      <c r="U48" s="3"/>
    </row>
    <row r="49" spans="1:21" ht="15.75" customHeight="1">
      <c r="A49" s="2" t="s">
        <v>21</v>
      </c>
      <c r="B49" s="12">
        <f t="shared" si="8"/>
        <v>48.44666773670037</v>
      </c>
      <c r="C49" s="12">
        <f t="shared" si="8"/>
        <v>0.1273849650073501</v>
      </c>
      <c r="D49" s="12">
        <f t="shared" si="8"/>
        <v>51.42594729829227</v>
      </c>
      <c r="E49" s="12">
        <f t="shared" si="8"/>
        <v>0</v>
      </c>
      <c r="G49" s="12">
        <f t="shared" si="9"/>
        <v>49.96059153808684</v>
      </c>
      <c r="H49" s="12">
        <f t="shared" si="9"/>
        <v>0.6097684204071023</v>
      </c>
      <c r="I49" s="12">
        <f t="shared" si="9"/>
        <v>49.42964004150607</v>
      </c>
      <c r="J49" s="12">
        <f t="shared" si="9"/>
        <v>0</v>
      </c>
      <c r="L49" s="12">
        <f t="shared" si="10"/>
        <v>49.27598106360825</v>
      </c>
      <c r="M49" s="12">
        <f t="shared" si="10"/>
        <v>0.9141078360055519</v>
      </c>
      <c r="N49" s="12">
        <f t="shared" si="10"/>
        <v>49.8099111003862</v>
      </c>
      <c r="O49" s="12">
        <f t="shared" si="10"/>
        <v>0</v>
      </c>
      <c r="Q49" s="12">
        <f t="shared" si="11"/>
        <v>48.7601431133983</v>
      </c>
      <c r="R49" s="12">
        <f t="shared" si="11"/>
        <v>1.8699788892429767</v>
      </c>
      <c r="S49" s="12">
        <f t="shared" si="11"/>
        <v>49.36987799735872</v>
      </c>
      <c r="T49" s="12">
        <f t="shared" si="11"/>
        <v>0</v>
      </c>
      <c r="U49" s="3"/>
    </row>
    <row r="50" spans="1:21" ht="15.75" customHeight="1">
      <c r="A50" s="2" t="s">
        <v>22</v>
      </c>
      <c r="B50" s="12">
        <f t="shared" si="8"/>
        <v>40.876397354054134</v>
      </c>
      <c r="C50" s="12">
        <f t="shared" si="8"/>
        <v>3.134117103324764</v>
      </c>
      <c r="D50" s="12">
        <f t="shared" si="8"/>
        <v>55.98948554262111</v>
      </c>
      <c r="E50" s="12">
        <f t="shared" si="8"/>
        <v>0</v>
      </c>
      <c r="G50" s="12">
        <f t="shared" si="9"/>
        <v>40.119210011268606</v>
      </c>
      <c r="H50" s="12">
        <f t="shared" si="9"/>
        <v>5.830021944131428</v>
      </c>
      <c r="I50" s="12">
        <f t="shared" si="9"/>
        <v>54.05076804459996</v>
      </c>
      <c r="J50" s="12">
        <f t="shared" si="9"/>
        <v>0</v>
      </c>
      <c r="L50" s="12">
        <f t="shared" si="10"/>
        <v>39.39850512570534</v>
      </c>
      <c r="M50" s="12">
        <f t="shared" si="10"/>
        <v>8.6708617684422</v>
      </c>
      <c r="N50" s="12">
        <f t="shared" si="10"/>
        <v>51.930633105852465</v>
      </c>
      <c r="O50" s="12">
        <f t="shared" si="10"/>
        <v>0</v>
      </c>
      <c r="Q50" s="12">
        <f t="shared" si="11"/>
        <v>40.70504771471622</v>
      </c>
      <c r="R50" s="12">
        <f t="shared" si="11"/>
        <v>6.341034655951782</v>
      </c>
      <c r="S50" s="12">
        <f t="shared" si="11"/>
        <v>52.95391762933199</v>
      </c>
      <c r="T50" s="12">
        <f t="shared" si="11"/>
        <v>0</v>
      </c>
      <c r="U50" s="3"/>
    </row>
    <row r="51" spans="1:21" ht="15.75" customHeight="1">
      <c r="A51" s="2" t="s">
        <v>23</v>
      </c>
      <c r="B51" s="12">
        <f t="shared" si="8"/>
        <v>46.40358300138284</v>
      </c>
      <c r="C51" s="12">
        <f t="shared" si="8"/>
        <v>4.6232275907618</v>
      </c>
      <c r="D51" s="12">
        <f t="shared" si="8"/>
        <v>48.97318940785536</v>
      </c>
      <c r="E51" s="12">
        <f t="shared" si="8"/>
        <v>0</v>
      </c>
      <c r="G51" s="12">
        <f t="shared" si="9"/>
        <v>45.73049706593027</v>
      </c>
      <c r="H51" s="12">
        <f t="shared" si="9"/>
        <v>2.43570935450466</v>
      </c>
      <c r="I51" s="12">
        <f t="shared" si="9"/>
        <v>51.83379357956507</v>
      </c>
      <c r="J51" s="12">
        <f t="shared" si="9"/>
        <v>0</v>
      </c>
      <c r="L51" s="12">
        <f t="shared" si="10"/>
        <v>44.67650446612914</v>
      </c>
      <c r="M51" s="12">
        <f t="shared" si="10"/>
        <v>7.423988872709889</v>
      </c>
      <c r="N51" s="12">
        <f t="shared" si="10"/>
        <v>47.899506661160984</v>
      </c>
      <c r="O51" s="12">
        <f t="shared" si="10"/>
        <v>0</v>
      </c>
      <c r="Q51" s="12">
        <f t="shared" si="11"/>
        <v>44.66503391924403</v>
      </c>
      <c r="R51" s="12">
        <f t="shared" si="11"/>
        <v>3.7928867118923257</v>
      </c>
      <c r="S51" s="12">
        <f t="shared" si="11"/>
        <v>51.54207936886366</v>
      </c>
      <c r="T51" s="12">
        <f t="shared" si="11"/>
        <v>0</v>
      </c>
      <c r="U51" s="3"/>
    </row>
    <row r="52" spans="1:21" ht="15.75" customHeight="1">
      <c r="A52" s="2" t="s">
        <v>24</v>
      </c>
      <c r="B52" s="12">
        <f t="shared" si="8"/>
        <v>46.44008203926165</v>
      </c>
      <c r="C52" s="12">
        <f t="shared" si="8"/>
        <v>0.5859947260474656</v>
      </c>
      <c r="D52" s="12">
        <f t="shared" si="8"/>
        <v>52.973923234690886</v>
      </c>
      <c r="E52" s="12">
        <f t="shared" si="8"/>
        <v>0</v>
      </c>
      <c r="G52" s="12">
        <f t="shared" si="9"/>
        <v>46.2704309063893</v>
      </c>
      <c r="H52" s="12">
        <f t="shared" si="9"/>
        <v>0</v>
      </c>
      <c r="I52" s="12">
        <f t="shared" si="9"/>
        <v>53.7295690936107</v>
      </c>
      <c r="J52" s="12">
        <f t="shared" si="9"/>
        <v>0</v>
      </c>
      <c r="L52" s="12">
        <f t="shared" si="10"/>
        <v>46.480982330038934</v>
      </c>
      <c r="M52" s="12">
        <f t="shared" si="10"/>
        <v>0</v>
      </c>
      <c r="N52" s="12">
        <f t="shared" si="10"/>
        <v>53.519017669961066</v>
      </c>
      <c r="O52" s="12">
        <f t="shared" si="10"/>
        <v>0</v>
      </c>
      <c r="Q52" s="12">
        <f t="shared" si="11"/>
        <v>46.942500760571946</v>
      </c>
      <c r="R52" s="12">
        <f t="shared" si="11"/>
        <v>0</v>
      </c>
      <c r="S52" s="12">
        <f t="shared" si="11"/>
        <v>53.057499239428054</v>
      </c>
      <c r="T52" s="12">
        <f t="shared" si="11"/>
        <v>0</v>
      </c>
      <c r="U52" s="3"/>
    </row>
    <row r="53" spans="1:21" ht="15.75" customHeight="1">
      <c r="A53" s="2" t="s">
        <v>25</v>
      </c>
      <c r="B53" s="12">
        <f t="shared" si="8"/>
        <v>44.046049740750504</v>
      </c>
      <c r="C53" s="12">
        <f t="shared" si="8"/>
        <v>0</v>
      </c>
      <c r="D53" s="12">
        <f t="shared" si="8"/>
        <v>55.54530275068108</v>
      </c>
      <c r="E53" s="12">
        <f t="shared" si="8"/>
        <v>0.40864750856841553</v>
      </c>
      <c r="G53" s="12">
        <f t="shared" si="9"/>
        <v>43.637409817200016</v>
      </c>
      <c r="H53" s="12">
        <f t="shared" si="9"/>
        <v>0</v>
      </c>
      <c r="I53" s="12">
        <f t="shared" si="9"/>
        <v>55.9509582614084</v>
      </c>
      <c r="J53" s="12">
        <f t="shared" si="9"/>
        <v>0.4116319213915815</v>
      </c>
      <c r="L53" s="12">
        <f t="shared" si="10"/>
        <v>43.137866500311915</v>
      </c>
      <c r="M53" s="12">
        <f t="shared" si="10"/>
        <v>0</v>
      </c>
      <c r="N53" s="12">
        <f t="shared" si="10"/>
        <v>56.44773193120043</v>
      </c>
      <c r="O53" s="12">
        <f t="shared" si="10"/>
        <v>0.414401568487657</v>
      </c>
      <c r="Q53" s="12">
        <f t="shared" si="11"/>
        <v>42.69586814179273</v>
      </c>
      <c r="R53" s="12">
        <f t="shared" si="11"/>
        <v>0.6321968841724994</v>
      </c>
      <c r="S53" s="12">
        <f t="shared" si="11"/>
        <v>56.25197561526304</v>
      </c>
      <c r="T53" s="12">
        <f t="shared" si="11"/>
        <v>0.41995935877173174</v>
      </c>
      <c r="U53" s="3"/>
    </row>
    <row r="54" spans="1:21" ht="15.75" customHeight="1">
      <c r="A54" s="2" t="s">
        <v>26</v>
      </c>
      <c r="B54" s="12">
        <f t="shared" si="8"/>
        <v>42.59061200237671</v>
      </c>
      <c r="C54" s="12">
        <f t="shared" si="8"/>
        <v>3.9809863339275102</v>
      </c>
      <c r="D54" s="12">
        <f t="shared" si="8"/>
        <v>53.42840166369578</v>
      </c>
      <c r="E54" s="12">
        <f t="shared" si="8"/>
        <v>0</v>
      </c>
      <c r="G54" s="12">
        <f t="shared" si="9"/>
        <v>42.06528189910979</v>
      </c>
      <c r="H54" s="12">
        <f t="shared" si="9"/>
        <v>2.741839762611276</v>
      </c>
      <c r="I54" s="12">
        <f t="shared" si="9"/>
        <v>55.19287833827893</v>
      </c>
      <c r="J54" s="12">
        <f t="shared" si="9"/>
        <v>0</v>
      </c>
      <c r="L54" s="12">
        <f t="shared" si="10"/>
        <v>41.5112272781276</v>
      </c>
      <c r="M54" s="12">
        <f t="shared" si="10"/>
        <v>2.613757870975407</v>
      </c>
      <c r="N54" s="12">
        <f t="shared" si="10"/>
        <v>55.875014850896996</v>
      </c>
      <c r="O54" s="12">
        <f t="shared" si="10"/>
        <v>0</v>
      </c>
      <c r="Q54" s="12">
        <f t="shared" si="11"/>
        <v>41.28907196510782</v>
      </c>
      <c r="R54" s="12">
        <f t="shared" si="11"/>
        <v>4.058638236006785</v>
      </c>
      <c r="S54" s="12">
        <f t="shared" si="11"/>
        <v>54.65228979888539</v>
      </c>
      <c r="T54" s="12">
        <f t="shared" si="11"/>
        <v>0</v>
      </c>
      <c r="U54" s="3"/>
    </row>
    <row r="55" spans="1:21" ht="15.75" customHeight="1">
      <c r="A55" s="2" t="s">
        <v>27</v>
      </c>
      <c r="B55" s="12">
        <f t="shared" si="8"/>
        <v>49.436643170339124</v>
      </c>
      <c r="C55" s="12">
        <f t="shared" si="8"/>
        <v>3.2524837653327414</v>
      </c>
      <c r="D55" s="12">
        <f t="shared" si="8"/>
        <v>46.31736693123161</v>
      </c>
      <c r="E55" s="12">
        <f t="shared" si="8"/>
        <v>0.99350613309652</v>
      </c>
      <c r="G55" s="12">
        <f t="shared" si="9"/>
        <v>50.8937845077352</v>
      </c>
      <c r="H55" s="12">
        <f t="shared" si="9"/>
        <v>5.111244738424534</v>
      </c>
      <c r="I55" s="12">
        <f t="shared" si="9"/>
        <v>43.016454381457386</v>
      </c>
      <c r="J55" s="12">
        <f t="shared" si="9"/>
        <v>0.9785163723828786</v>
      </c>
      <c r="L55" s="12">
        <f t="shared" si="10"/>
        <v>51.60801481730931</v>
      </c>
      <c r="M55" s="12">
        <f t="shared" si="10"/>
        <v>5.152382555985857</v>
      </c>
      <c r="N55" s="12">
        <f t="shared" si="10"/>
        <v>42.23494415445923</v>
      </c>
      <c r="O55" s="12">
        <f t="shared" si="10"/>
        <v>1.0046584722456082</v>
      </c>
      <c r="Q55" s="12">
        <f t="shared" si="11"/>
        <v>50.805018876304686</v>
      </c>
      <c r="R55" s="12">
        <f t="shared" si="11"/>
        <v>3.5920497446147013</v>
      </c>
      <c r="S55" s="12">
        <f t="shared" si="11"/>
        <v>44.60914945591828</v>
      </c>
      <c r="T55" s="12">
        <f t="shared" si="11"/>
        <v>0.9937819231623362</v>
      </c>
      <c r="U55" s="3"/>
    </row>
    <row r="56" spans="1:21" ht="15.75" customHeight="1">
      <c r="A56" s="2" t="s">
        <v>28</v>
      </c>
      <c r="B56" s="12">
        <f t="shared" si="8"/>
        <v>42.92643389206361</v>
      </c>
      <c r="C56" s="12">
        <f t="shared" si="8"/>
        <v>0.9200599498418002</v>
      </c>
      <c r="D56" s="12">
        <f t="shared" si="8"/>
        <v>53.296600899532834</v>
      </c>
      <c r="E56" s="12">
        <f t="shared" si="8"/>
        <v>2.8569052585617514</v>
      </c>
      <c r="G56" s="12">
        <f t="shared" si="9"/>
        <v>41.81660027090269</v>
      </c>
      <c r="H56" s="12">
        <f t="shared" si="9"/>
        <v>2.37347559358696</v>
      </c>
      <c r="I56" s="12">
        <f t="shared" si="9"/>
        <v>52.897523739251774</v>
      </c>
      <c r="J56" s="12">
        <f t="shared" si="9"/>
        <v>2.9124003962585774</v>
      </c>
      <c r="L56" s="12">
        <f t="shared" si="10"/>
        <v>41.75763804219314</v>
      </c>
      <c r="M56" s="12">
        <f t="shared" si="10"/>
        <v>2.1159807196764358</v>
      </c>
      <c r="N56" s="12">
        <f t="shared" si="10"/>
        <v>53.15337236101849</v>
      </c>
      <c r="O56" s="12">
        <f t="shared" si="10"/>
        <v>2.9730088771119285</v>
      </c>
      <c r="Q56" s="12">
        <f t="shared" si="11"/>
        <v>41.50774785528588</v>
      </c>
      <c r="R56" s="12">
        <f t="shared" si="11"/>
        <v>1.7833646082927812</v>
      </c>
      <c r="S56" s="12">
        <f t="shared" si="11"/>
        <v>53.6905995947917</v>
      </c>
      <c r="T56" s="12">
        <f t="shared" si="11"/>
        <v>3.0182879416296484</v>
      </c>
      <c r="U56" s="3"/>
    </row>
    <row r="57" spans="1:21" ht="15.75" customHeight="1">
      <c r="A57" s="2" t="s">
        <v>29</v>
      </c>
      <c r="B57" s="12">
        <f t="shared" si="8"/>
        <v>43.99675668932826</v>
      </c>
      <c r="C57" s="12">
        <f t="shared" si="8"/>
        <v>4.905507391006051</v>
      </c>
      <c r="D57" s="12">
        <f t="shared" si="8"/>
        <v>51.09773591966569</v>
      </c>
      <c r="E57" s="12">
        <f t="shared" si="8"/>
        <v>0</v>
      </c>
      <c r="G57" s="12">
        <f t="shared" si="9"/>
        <v>44.28459978155718</v>
      </c>
      <c r="H57" s="12">
        <f t="shared" si="9"/>
        <v>4.543610547667343</v>
      </c>
      <c r="I57" s="12">
        <f t="shared" si="9"/>
        <v>51.17178967077547</v>
      </c>
      <c r="J57" s="12">
        <f t="shared" si="9"/>
        <v>0</v>
      </c>
      <c r="L57" s="12">
        <f t="shared" si="10"/>
        <v>44.22452450904593</v>
      </c>
      <c r="M57" s="12">
        <f t="shared" si="10"/>
        <v>5.08118138240297</v>
      </c>
      <c r="N57" s="12">
        <f t="shared" si="10"/>
        <v>50.694294108551105</v>
      </c>
      <c r="O57" s="12">
        <f t="shared" si="10"/>
        <v>0</v>
      </c>
      <c r="Q57" s="12">
        <f t="shared" si="11"/>
        <v>42.98415628364867</v>
      </c>
      <c r="R57" s="12">
        <f t="shared" si="11"/>
        <v>6.56822027380403</v>
      </c>
      <c r="S57" s="12">
        <f t="shared" si="11"/>
        <v>50.4476234425473</v>
      </c>
      <c r="T57" s="12">
        <f t="shared" si="11"/>
        <v>0</v>
      </c>
      <c r="U57" s="3"/>
    </row>
    <row r="58" spans="1:21" ht="15.75" customHeight="1">
      <c r="A58" s="2" t="s">
        <v>30</v>
      </c>
      <c r="B58" s="12">
        <f t="shared" si="8"/>
        <v>42.920634189589066</v>
      </c>
      <c r="C58" s="12">
        <f t="shared" si="8"/>
        <v>5.971145985653591</v>
      </c>
      <c r="D58" s="12">
        <f t="shared" si="8"/>
        <v>50.7581950697171</v>
      </c>
      <c r="E58" s="12">
        <f t="shared" si="8"/>
        <v>0.35002475504024133</v>
      </c>
      <c r="G58" s="12">
        <f t="shared" si="9"/>
        <v>42.44211546896282</v>
      </c>
      <c r="H58" s="12">
        <f t="shared" si="9"/>
        <v>6.006602183799257</v>
      </c>
      <c r="I58" s="12">
        <f t="shared" si="9"/>
        <v>51.20039705441031</v>
      </c>
      <c r="J58" s="12">
        <f t="shared" si="9"/>
        <v>0.3508852928276276</v>
      </c>
      <c r="L58" s="12">
        <f t="shared" si="10"/>
        <v>42.40074513913145</v>
      </c>
      <c r="M58" s="12">
        <f t="shared" si="10"/>
        <v>5.565257887996275</v>
      </c>
      <c r="N58" s="12">
        <f t="shared" si="10"/>
        <v>51.68005588543486</v>
      </c>
      <c r="O58" s="12">
        <f t="shared" si="10"/>
        <v>0.35394108743742</v>
      </c>
      <c r="Q58" s="12">
        <f t="shared" si="11"/>
        <v>41.50502100326977</v>
      </c>
      <c r="R58" s="12">
        <f t="shared" si="11"/>
        <v>9.60099605534158</v>
      </c>
      <c r="S58" s="12">
        <f t="shared" si="11"/>
        <v>48.54024366120156</v>
      </c>
      <c r="T58" s="12">
        <f t="shared" si="11"/>
        <v>0.3537392801871095</v>
      </c>
      <c r="U58" s="3"/>
    </row>
    <row r="59" spans="1:21" ht="15.75" customHeight="1">
      <c r="A59" s="2" t="s">
        <v>31</v>
      </c>
      <c r="B59" s="12">
        <f t="shared" si="8"/>
        <v>44.66083365693162</v>
      </c>
      <c r="C59" s="12">
        <f t="shared" si="8"/>
        <v>0.23488156889613707</v>
      </c>
      <c r="D59" s="12">
        <f t="shared" si="8"/>
        <v>54.48783809660432</v>
      </c>
      <c r="E59" s="12">
        <f t="shared" si="8"/>
        <v>0.6164466775679117</v>
      </c>
      <c r="G59" s="12">
        <f t="shared" si="9"/>
        <v>44.57939067817187</v>
      </c>
      <c r="H59" s="12">
        <f t="shared" si="9"/>
        <v>0.7779869966409054</v>
      </c>
      <c r="I59" s="12">
        <f t="shared" si="9"/>
        <v>54.009497713502256</v>
      </c>
      <c r="J59" s="12">
        <f t="shared" si="9"/>
        <v>0.6331246116849787</v>
      </c>
      <c r="L59" s="12">
        <f t="shared" si="10"/>
        <v>45.03384485029627</v>
      </c>
      <c r="M59" s="12">
        <f t="shared" si="10"/>
        <v>2.852928184879542</v>
      </c>
      <c r="N59" s="12">
        <f t="shared" si="10"/>
        <v>51.47052224197301</v>
      </c>
      <c r="O59" s="12">
        <f t="shared" si="10"/>
        <v>0.6427047228511895</v>
      </c>
      <c r="Q59" s="12">
        <f t="shared" si="11"/>
        <v>44.738292251309566</v>
      </c>
      <c r="R59" s="12">
        <f t="shared" si="11"/>
        <v>2.8194679903464857</v>
      </c>
      <c r="S59" s="12">
        <f t="shared" si="11"/>
        <v>51.797386273318736</v>
      </c>
      <c r="T59" s="12">
        <f t="shared" si="11"/>
        <v>0.6448534850252158</v>
      </c>
      <c r="U59" s="3"/>
    </row>
    <row r="60" ht="15.75" customHeight="1">
      <c r="U60" s="3"/>
    </row>
    <row r="61" ht="15.75" customHeight="1">
      <c r="U61" s="3"/>
    </row>
    <row r="62" spans="1:21" ht="15.75" customHeight="1">
      <c r="A62" s="1" t="s">
        <v>13</v>
      </c>
      <c r="B62" s="1"/>
      <c r="C62" s="1"/>
      <c r="D62" s="1"/>
      <c r="E62" s="1"/>
      <c r="F62" s="1"/>
      <c r="G62" s="1"/>
      <c r="H62" s="1"/>
      <c r="I62" s="1"/>
      <c r="J62" s="1"/>
      <c r="K62" s="1"/>
      <c r="U62" s="3"/>
    </row>
    <row r="63" spans="1:21" ht="15.75" customHeight="1">
      <c r="A63" s="2" t="s">
        <v>17</v>
      </c>
      <c r="B63" s="10">
        <f>(B6/$G28)*100</f>
        <v>55.60201141307418</v>
      </c>
      <c r="C63" s="10" t="s">
        <v>1</v>
      </c>
      <c r="D63" s="10">
        <f aca="true" t="shared" si="12" ref="D63:E77">(D6/$G28)*100</f>
        <v>44.39798858692582</v>
      </c>
      <c r="E63" s="10">
        <f t="shared" si="12"/>
        <v>0</v>
      </c>
      <c r="G63" s="10">
        <f>(G6/$H28)*100</f>
        <v>57.737104825291176</v>
      </c>
      <c r="H63" s="10"/>
      <c r="I63" s="10">
        <f aca="true" t="shared" si="13" ref="I63:J77">(I6/$H28)*100</f>
        <v>42.26289517470882</v>
      </c>
      <c r="J63" s="10">
        <f t="shared" si="13"/>
        <v>0</v>
      </c>
      <c r="L63" s="10">
        <f>(L6/$I28)*100</f>
        <v>57.35514410689676</v>
      </c>
      <c r="M63" s="10"/>
      <c r="N63" s="10">
        <f aca="true" t="shared" si="14" ref="N63:O77">(N6/$I28)*100</f>
        <v>42.64485589310324</v>
      </c>
      <c r="O63" s="10">
        <f t="shared" si="14"/>
        <v>0</v>
      </c>
      <c r="Q63" s="10">
        <f>(Q6/$J28)*100</f>
        <v>57.256097560975604</v>
      </c>
      <c r="R63" s="10"/>
      <c r="S63" s="10">
        <f aca="true" t="shared" si="15" ref="S63:T77">(S6/$J28)*100</f>
        <v>42.74390243902439</v>
      </c>
      <c r="T63" s="10">
        <f t="shared" si="15"/>
        <v>0</v>
      </c>
      <c r="U63" s="3"/>
    </row>
    <row r="64" spans="1:21" ht="15.75" customHeight="1">
      <c r="A64" s="2" t="s">
        <v>18</v>
      </c>
      <c r="B64" s="10">
        <f>(B7/$G29)*100</f>
        <v>49.493046516407475</v>
      </c>
      <c r="C64" s="10" t="s">
        <v>1</v>
      </c>
      <c r="D64" s="10">
        <f t="shared" si="12"/>
        <v>46.331437966705494</v>
      </c>
      <c r="E64" s="10">
        <f t="shared" si="12"/>
        <v>4.175515516887032</v>
      </c>
      <c r="G64" s="10">
        <f>(G7/$H29)*100</f>
        <v>48.53752181500872</v>
      </c>
      <c r="H64" s="10"/>
      <c r="I64" s="10">
        <f t="shared" si="13"/>
        <v>47.20767888307155</v>
      </c>
      <c r="J64" s="10">
        <f t="shared" si="13"/>
        <v>4.254799301919721</v>
      </c>
      <c r="L64" s="10">
        <f>(L7/$I29)*100</f>
        <v>51.16377642223983</v>
      </c>
      <c r="M64" s="10"/>
      <c r="N64" s="10">
        <f t="shared" si="14"/>
        <v>44.34329100860623</v>
      </c>
      <c r="O64" s="10">
        <f t="shared" si="14"/>
        <v>4.492932569153935</v>
      </c>
      <c r="Q64" s="10">
        <f>(Q7/$J29)*100</f>
        <v>50.22535976106435</v>
      </c>
      <c r="R64" s="10"/>
      <c r="S64" s="10">
        <f t="shared" si="15"/>
        <v>45.36157118291248</v>
      </c>
      <c r="T64" s="10">
        <f t="shared" si="15"/>
        <v>4.413069056023169</v>
      </c>
      <c r="U64" s="3"/>
    </row>
    <row r="65" spans="1:21" ht="15.75" customHeight="1">
      <c r="A65" s="2" t="s">
        <v>19</v>
      </c>
      <c r="B65" s="10">
        <f aca="true" t="shared" si="16" ref="B65:B77">(B8/$G30)*100</f>
        <v>41.49085794655415</v>
      </c>
      <c r="C65" s="10" t="s">
        <v>1</v>
      </c>
      <c r="D65" s="10">
        <f t="shared" si="12"/>
        <v>57.627525642345034</v>
      </c>
      <c r="E65" s="10">
        <f t="shared" si="12"/>
        <v>0.8816164111008199</v>
      </c>
      <c r="G65" s="10">
        <f aca="true" t="shared" si="17" ref="G65:G77">(G8/$H30)*100</f>
        <v>42.39885502844975</v>
      </c>
      <c r="H65" s="10"/>
      <c r="I65" s="10">
        <f t="shared" si="13"/>
        <v>56.704017872726645</v>
      </c>
      <c r="J65" s="10">
        <f t="shared" si="13"/>
        <v>0.8971270988236116</v>
      </c>
      <c r="L65" s="10">
        <f aca="true" t="shared" si="18" ref="L65:L77">(L8/$I30)*100</f>
        <v>39.57244145240994</v>
      </c>
      <c r="M65" s="10"/>
      <c r="N65" s="10">
        <f t="shared" si="14"/>
        <v>59.507269211487504</v>
      </c>
      <c r="O65" s="10">
        <f t="shared" si="14"/>
        <v>0.9202893361025567</v>
      </c>
      <c r="Q65" s="10">
        <f aca="true" t="shared" si="19" ref="Q65:Q77">(Q8/$J30)*100</f>
        <v>39.861012116892375</v>
      </c>
      <c r="R65" s="10"/>
      <c r="S65" s="10">
        <f t="shared" si="15"/>
        <v>59.22309337134711</v>
      </c>
      <c r="T65" s="10">
        <f t="shared" si="15"/>
        <v>0.9158945117605132</v>
      </c>
      <c r="U65" s="3"/>
    </row>
    <row r="66" spans="1:21" ht="15.75" customHeight="1">
      <c r="A66" s="2" t="s">
        <v>20</v>
      </c>
      <c r="B66" s="10">
        <f t="shared" si="16"/>
        <v>55.16150723482679</v>
      </c>
      <c r="C66" s="10" t="s">
        <v>1</v>
      </c>
      <c r="D66" s="10">
        <f t="shared" si="12"/>
        <v>44.83849276517321</v>
      </c>
      <c r="E66" s="10">
        <f t="shared" si="12"/>
        <v>0</v>
      </c>
      <c r="G66" s="10">
        <f t="shared" si="17"/>
        <v>54.801546391752574</v>
      </c>
      <c r="H66" s="10"/>
      <c r="I66" s="10">
        <f t="shared" si="13"/>
        <v>45.198453608247426</v>
      </c>
      <c r="J66" s="10">
        <f t="shared" si="13"/>
        <v>0</v>
      </c>
      <c r="L66" s="10">
        <f t="shared" si="18"/>
        <v>56.65972811142805</v>
      </c>
      <c r="M66" s="10"/>
      <c r="N66" s="10">
        <f t="shared" si="14"/>
        <v>43.34027188857194</v>
      </c>
      <c r="O66" s="10">
        <f t="shared" si="14"/>
        <v>0</v>
      </c>
      <c r="Q66" s="10">
        <f t="shared" si="19"/>
        <v>56.26076450476851</v>
      </c>
      <c r="R66" s="10"/>
      <c r="S66" s="10">
        <f t="shared" si="15"/>
        <v>43.73923549523149</v>
      </c>
      <c r="T66" s="10">
        <f t="shared" si="15"/>
        <v>0</v>
      </c>
      <c r="U66" s="3"/>
    </row>
    <row r="67" spans="1:21" ht="15.75" customHeight="1">
      <c r="A67" s="2" t="s">
        <v>21</v>
      </c>
      <c r="B67" s="10">
        <f t="shared" si="16"/>
        <v>48.508460221779494</v>
      </c>
      <c r="C67" s="10" t="s">
        <v>1</v>
      </c>
      <c r="D67" s="10">
        <f t="shared" si="12"/>
        <v>51.491539778220506</v>
      </c>
      <c r="E67" s="10">
        <f t="shared" si="12"/>
        <v>0</v>
      </c>
      <c r="G67" s="10">
        <f t="shared" si="17"/>
        <v>50.26710446697952</v>
      </c>
      <c r="H67" s="10"/>
      <c r="I67" s="10">
        <f t="shared" si="13"/>
        <v>49.732895533020475</v>
      </c>
      <c r="J67" s="10">
        <f t="shared" si="13"/>
        <v>0</v>
      </c>
      <c r="L67" s="10">
        <f t="shared" si="18"/>
        <v>49.730572120249846</v>
      </c>
      <c r="M67" s="10"/>
      <c r="N67" s="10">
        <f t="shared" si="14"/>
        <v>50.26942787975016</v>
      </c>
      <c r="O67" s="10">
        <f t="shared" si="14"/>
        <v>0</v>
      </c>
      <c r="Q67" s="10">
        <f t="shared" si="19"/>
        <v>49.68932296301444</v>
      </c>
      <c r="R67" s="10"/>
      <c r="S67" s="10">
        <f t="shared" si="15"/>
        <v>50.31067703698556</v>
      </c>
      <c r="T67" s="10">
        <f t="shared" si="15"/>
        <v>0</v>
      </c>
      <c r="U67" s="3"/>
    </row>
    <row r="68" spans="1:21" ht="15.75" customHeight="1">
      <c r="A68" s="2" t="s">
        <v>22</v>
      </c>
      <c r="B68" s="10">
        <f t="shared" si="16"/>
        <v>42.198962247271425</v>
      </c>
      <c r="C68" s="10" t="s">
        <v>1</v>
      </c>
      <c r="D68" s="10">
        <f t="shared" si="12"/>
        <v>57.801037752728575</v>
      </c>
      <c r="E68" s="10">
        <f t="shared" si="12"/>
        <v>0</v>
      </c>
      <c r="G68" s="10">
        <f t="shared" si="17"/>
        <v>42.602972666582694</v>
      </c>
      <c r="H68" s="10"/>
      <c r="I68" s="10">
        <f t="shared" si="13"/>
        <v>57.397027333417306</v>
      </c>
      <c r="J68" s="10">
        <f t="shared" si="13"/>
        <v>0</v>
      </c>
      <c r="L68" s="10">
        <f t="shared" si="18"/>
        <v>43.13903085980462</v>
      </c>
      <c r="M68" s="10"/>
      <c r="N68" s="10">
        <f t="shared" si="14"/>
        <v>56.86096914019538</v>
      </c>
      <c r="O68" s="10">
        <f t="shared" si="14"/>
        <v>0</v>
      </c>
      <c r="Q68" s="10">
        <f t="shared" si="19"/>
        <v>43.460919694329</v>
      </c>
      <c r="R68" s="10"/>
      <c r="S68" s="10">
        <f t="shared" si="15"/>
        <v>56.539080305671</v>
      </c>
      <c r="T68" s="10">
        <f t="shared" si="15"/>
        <v>0</v>
      </c>
      <c r="U68" s="3"/>
    </row>
    <row r="69" spans="1:21" ht="15.75" customHeight="1">
      <c r="A69" s="2" t="s">
        <v>23</v>
      </c>
      <c r="B69" s="10">
        <f t="shared" si="16"/>
        <v>48.65291813637446</v>
      </c>
      <c r="C69" s="10" t="s">
        <v>1</v>
      </c>
      <c r="D69" s="10">
        <f t="shared" si="12"/>
        <v>51.34708186362554</v>
      </c>
      <c r="E69" s="10">
        <f t="shared" si="12"/>
        <v>0</v>
      </c>
      <c r="G69" s="10">
        <f t="shared" si="17"/>
        <v>46.872166817769724</v>
      </c>
      <c r="H69" s="10"/>
      <c r="I69" s="10">
        <f t="shared" si="13"/>
        <v>53.12783318223029</v>
      </c>
      <c r="J69" s="10">
        <f t="shared" si="13"/>
        <v>0</v>
      </c>
      <c r="L69" s="10">
        <f t="shared" si="18"/>
        <v>48.25926708453647</v>
      </c>
      <c r="M69" s="10"/>
      <c r="N69" s="10">
        <f t="shared" si="14"/>
        <v>51.740732915463525</v>
      </c>
      <c r="O69" s="10">
        <f t="shared" si="14"/>
        <v>0</v>
      </c>
      <c r="Q69" s="10">
        <f t="shared" si="19"/>
        <v>46.42591633062246</v>
      </c>
      <c r="R69" s="10"/>
      <c r="S69" s="10">
        <f t="shared" si="15"/>
        <v>53.57408366937755</v>
      </c>
      <c r="T69" s="10">
        <f t="shared" si="15"/>
        <v>0</v>
      </c>
      <c r="U69" s="3"/>
    </row>
    <row r="70" spans="1:21" ht="15.75" customHeight="1">
      <c r="A70" s="2" t="s">
        <v>24</v>
      </c>
      <c r="B70" s="10">
        <f t="shared" si="16"/>
        <v>46.71382257589154</v>
      </c>
      <c r="C70" s="10" t="s">
        <v>1</v>
      </c>
      <c r="D70" s="10">
        <f t="shared" si="12"/>
        <v>53.28617742410846</v>
      </c>
      <c r="E70" s="10">
        <f t="shared" si="12"/>
        <v>0</v>
      </c>
      <c r="G70" s="10">
        <f t="shared" si="17"/>
        <v>46.2704309063893</v>
      </c>
      <c r="H70" s="10"/>
      <c r="I70" s="10">
        <f t="shared" si="13"/>
        <v>53.7295690936107</v>
      </c>
      <c r="J70" s="10">
        <f t="shared" si="13"/>
        <v>0</v>
      </c>
      <c r="L70" s="10">
        <f t="shared" si="18"/>
        <v>46.480982330038934</v>
      </c>
      <c r="M70" s="10"/>
      <c r="N70" s="10">
        <f t="shared" si="14"/>
        <v>53.519017669961066</v>
      </c>
      <c r="O70" s="10">
        <f t="shared" si="14"/>
        <v>0</v>
      </c>
      <c r="Q70" s="10">
        <f t="shared" si="19"/>
        <v>46.942500760571946</v>
      </c>
      <c r="R70" s="10"/>
      <c r="S70" s="10">
        <f t="shared" si="15"/>
        <v>53.057499239428054</v>
      </c>
      <c r="T70" s="10">
        <f t="shared" si="15"/>
        <v>0</v>
      </c>
      <c r="U70" s="3"/>
    </row>
    <row r="71" spans="1:21" ht="15.75" customHeight="1">
      <c r="A71" s="2" t="s">
        <v>25</v>
      </c>
      <c r="B71" s="10">
        <f t="shared" si="16"/>
        <v>44.046049740750504</v>
      </c>
      <c r="C71" s="10" t="s">
        <v>1</v>
      </c>
      <c r="D71" s="10">
        <f t="shared" si="12"/>
        <v>55.54530275068108</v>
      </c>
      <c r="E71" s="10">
        <f t="shared" si="12"/>
        <v>0.40864750856841553</v>
      </c>
      <c r="G71" s="10">
        <f t="shared" si="17"/>
        <v>43.637409817200016</v>
      </c>
      <c r="H71" s="10"/>
      <c r="I71" s="10">
        <f t="shared" si="13"/>
        <v>55.9509582614084</v>
      </c>
      <c r="J71" s="10">
        <f t="shared" si="13"/>
        <v>0.4116319213915815</v>
      </c>
      <c r="L71" s="10">
        <f t="shared" si="18"/>
        <v>43.137866500311915</v>
      </c>
      <c r="M71" s="10"/>
      <c r="N71" s="10">
        <f t="shared" si="14"/>
        <v>56.44773193120043</v>
      </c>
      <c r="O71" s="10">
        <f t="shared" si="14"/>
        <v>0.414401568487657</v>
      </c>
      <c r="Q71" s="10">
        <f t="shared" si="19"/>
        <v>42.9675073846853</v>
      </c>
      <c r="R71" s="10"/>
      <c r="S71" s="10">
        <f t="shared" si="15"/>
        <v>56.60986139513747</v>
      </c>
      <c r="T71" s="10">
        <f t="shared" si="15"/>
        <v>0.4226312201772325</v>
      </c>
      <c r="U71" s="3"/>
    </row>
    <row r="72" spans="1:21" ht="15.75" customHeight="1">
      <c r="A72" s="2" t="s">
        <v>26</v>
      </c>
      <c r="B72" s="10">
        <f t="shared" si="16"/>
        <v>44.35643564356436</v>
      </c>
      <c r="C72" s="10" t="s">
        <v>1</v>
      </c>
      <c r="D72" s="10">
        <f t="shared" si="12"/>
        <v>55.64356435643565</v>
      </c>
      <c r="E72" s="10">
        <f t="shared" si="12"/>
        <v>0</v>
      </c>
      <c r="G72" s="10">
        <f t="shared" si="17"/>
        <v>43.251159384915795</v>
      </c>
      <c r="H72" s="10"/>
      <c r="I72" s="10">
        <f t="shared" si="13"/>
        <v>56.748840615084205</v>
      </c>
      <c r="J72" s="10">
        <f t="shared" si="13"/>
        <v>0</v>
      </c>
      <c r="L72" s="10">
        <f t="shared" si="18"/>
        <v>42.62535073807491</v>
      </c>
      <c r="M72" s="10"/>
      <c r="N72" s="10">
        <f t="shared" si="14"/>
        <v>57.37464926192509</v>
      </c>
      <c r="O72" s="10">
        <f t="shared" si="14"/>
        <v>0</v>
      </c>
      <c r="Q72" s="10">
        <f t="shared" si="19"/>
        <v>43.03573683545902</v>
      </c>
      <c r="R72" s="10"/>
      <c r="S72" s="10">
        <f t="shared" si="15"/>
        <v>56.964263164540974</v>
      </c>
      <c r="T72" s="10">
        <f t="shared" si="15"/>
        <v>0</v>
      </c>
      <c r="U72" s="3"/>
    </row>
    <row r="73" spans="1:21" ht="15.75" customHeight="1">
      <c r="A73" s="2" t="s">
        <v>27</v>
      </c>
      <c r="B73" s="10">
        <f t="shared" si="16"/>
        <v>51.09861740577133</v>
      </c>
      <c r="C73" s="10" t="s">
        <v>1</v>
      </c>
      <c r="D73" s="10">
        <f t="shared" si="12"/>
        <v>47.874476507371924</v>
      </c>
      <c r="E73" s="10">
        <f t="shared" si="12"/>
        <v>1.0269060868567494</v>
      </c>
      <c r="G73" s="10">
        <f t="shared" si="17"/>
        <v>53.635211429888244</v>
      </c>
      <c r="H73" s="10"/>
      <c r="I73" s="10">
        <f t="shared" si="13"/>
        <v>45.333563774628416</v>
      </c>
      <c r="J73" s="10">
        <f t="shared" si="13"/>
        <v>1.0312247954833507</v>
      </c>
      <c r="L73" s="10">
        <f t="shared" si="18"/>
        <v>54.4115036392686</v>
      </c>
      <c r="M73" s="10"/>
      <c r="N73" s="10">
        <f t="shared" si="14"/>
        <v>44.529262086513995</v>
      </c>
      <c r="O73" s="10">
        <f t="shared" si="14"/>
        <v>1.0592342742174092</v>
      </c>
      <c r="Q73" s="10">
        <f t="shared" si="19"/>
        <v>52.697955657932624</v>
      </c>
      <c r="R73" s="10"/>
      <c r="S73" s="10">
        <f t="shared" si="15"/>
        <v>46.2712352433055</v>
      </c>
      <c r="T73" s="10">
        <f t="shared" si="15"/>
        <v>1.0308090987618774</v>
      </c>
      <c r="U73" s="3"/>
    </row>
    <row r="74" spans="1:21" ht="15.75" customHeight="1">
      <c r="A74" s="2" t="s">
        <v>28</v>
      </c>
      <c r="B74" s="10">
        <f t="shared" si="16"/>
        <v>43.325050328383874</v>
      </c>
      <c r="C74" s="10" t="s">
        <v>1</v>
      </c>
      <c r="D74" s="10">
        <f t="shared" si="12"/>
        <v>53.79151508625457</v>
      </c>
      <c r="E74" s="10">
        <f t="shared" si="12"/>
        <v>2.88343458536155</v>
      </c>
      <c r="G74" s="10">
        <f t="shared" si="17"/>
        <v>42.833236689675466</v>
      </c>
      <c r="H74" s="10"/>
      <c r="I74" s="10">
        <f t="shared" si="13"/>
        <v>54.18355724622822</v>
      </c>
      <c r="J74" s="10">
        <f t="shared" si="13"/>
        <v>2.983206064096309</v>
      </c>
      <c r="L74" s="10">
        <f t="shared" si="18"/>
        <v>42.660322235651364</v>
      </c>
      <c r="M74" s="10"/>
      <c r="N74" s="10">
        <f t="shared" si="14"/>
        <v>54.30240068993905</v>
      </c>
      <c r="O74" s="10">
        <f t="shared" si="14"/>
        <v>3.037277074409588</v>
      </c>
      <c r="Q74" s="10">
        <f t="shared" si="19"/>
        <v>42.26142311813557</v>
      </c>
      <c r="R74" s="10"/>
      <c r="S74" s="10">
        <f t="shared" si="15"/>
        <v>54.6654844982859</v>
      </c>
      <c r="T74" s="10">
        <f t="shared" si="15"/>
        <v>3.073092383578529</v>
      </c>
      <c r="U74" s="3"/>
    </row>
    <row r="75" spans="1:21" ht="15.75" customHeight="1">
      <c r="A75" s="2" t="s">
        <v>29</v>
      </c>
      <c r="B75" s="10">
        <f t="shared" si="16"/>
        <v>46.266356212901314</v>
      </c>
      <c r="C75" s="10" t="s">
        <v>1</v>
      </c>
      <c r="D75" s="10">
        <f t="shared" si="12"/>
        <v>53.73364378709867</v>
      </c>
      <c r="E75" s="10">
        <f t="shared" si="12"/>
        <v>0</v>
      </c>
      <c r="G75" s="10">
        <f t="shared" si="17"/>
        <v>46.392494033803004</v>
      </c>
      <c r="H75" s="10"/>
      <c r="I75" s="10">
        <f t="shared" si="13"/>
        <v>53.607505966197</v>
      </c>
      <c r="J75" s="10">
        <f t="shared" si="13"/>
        <v>0</v>
      </c>
      <c r="L75" s="10">
        <f t="shared" si="18"/>
        <v>46.59194578391764</v>
      </c>
      <c r="M75" s="10"/>
      <c r="N75" s="10">
        <f t="shared" si="14"/>
        <v>53.40805421608237</v>
      </c>
      <c r="O75" s="10">
        <f t="shared" si="14"/>
        <v>0</v>
      </c>
      <c r="Q75" s="10">
        <f t="shared" si="19"/>
        <v>46.00592690154758</v>
      </c>
      <c r="R75" s="10"/>
      <c r="S75" s="10">
        <f t="shared" si="15"/>
        <v>53.994073098452425</v>
      </c>
      <c r="T75" s="10">
        <f t="shared" si="15"/>
        <v>0</v>
      </c>
      <c r="U75" s="3"/>
    </row>
    <row r="76" spans="1:21" ht="15.75" customHeight="1">
      <c r="A76" s="2" t="s">
        <v>30</v>
      </c>
      <c r="B76" s="10">
        <f t="shared" si="16"/>
        <v>45.64623767831997</v>
      </c>
      <c r="C76" s="10" t="s">
        <v>1</v>
      </c>
      <c r="D76" s="10">
        <f t="shared" si="12"/>
        <v>53.981509826731155</v>
      </c>
      <c r="E76" s="10">
        <f t="shared" si="12"/>
        <v>0.3722524949488765</v>
      </c>
      <c r="G76" s="10">
        <f t="shared" si="17"/>
        <v>45.154358130510595</v>
      </c>
      <c r="H76" s="10"/>
      <c r="I76" s="10">
        <f t="shared" si="13"/>
        <v>54.47233342338581</v>
      </c>
      <c r="J76" s="10">
        <f t="shared" si="13"/>
        <v>0.3733084461035931</v>
      </c>
      <c r="L76" s="10">
        <f t="shared" si="18"/>
        <v>44.8995191714955</v>
      </c>
      <c r="M76" s="10"/>
      <c r="N76" s="10">
        <f t="shared" si="14"/>
        <v>54.72568117371471</v>
      </c>
      <c r="O76" s="10">
        <f t="shared" si="14"/>
        <v>0.3747996547897916</v>
      </c>
      <c r="Q76" s="10">
        <f t="shared" si="19"/>
        <v>45.91313973844095</v>
      </c>
      <c r="R76" s="10"/>
      <c r="S76" s="10">
        <f t="shared" si="15"/>
        <v>53.6955514365153</v>
      </c>
      <c r="T76" s="10">
        <f t="shared" si="15"/>
        <v>0.39130882504376485</v>
      </c>
      <c r="U76" s="3"/>
    </row>
    <row r="77" spans="1:20" ht="15.75" customHeight="1">
      <c r="A77" s="2" t="s">
        <v>31</v>
      </c>
      <c r="B77" s="10">
        <f t="shared" si="16"/>
        <v>44.765980694719126</v>
      </c>
      <c r="C77" s="10" t="s">
        <v>1</v>
      </c>
      <c r="D77" s="10">
        <f t="shared" si="12"/>
        <v>54.61612129918206</v>
      </c>
      <c r="E77" s="10">
        <f t="shared" si="12"/>
        <v>0.6178980060988146</v>
      </c>
      <c r="G77" s="10">
        <f t="shared" si="17"/>
        <v>44.92893192628804</v>
      </c>
      <c r="H77" s="10"/>
      <c r="I77" s="10">
        <f t="shared" si="13"/>
        <v>54.432979213668844</v>
      </c>
      <c r="J77" s="10">
        <f t="shared" si="13"/>
        <v>0.6380888600431284</v>
      </c>
      <c r="L77" s="10">
        <f t="shared" si="18"/>
        <v>46.356358466469985</v>
      </c>
      <c r="M77" s="10"/>
      <c r="N77" s="10">
        <f t="shared" si="14"/>
        <v>52.982062434085506</v>
      </c>
      <c r="O77" s="10">
        <f t="shared" si="14"/>
        <v>0.6615790994445143</v>
      </c>
      <c r="Q77" s="10">
        <f t="shared" si="19"/>
        <v>46.03627015220028</v>
      </c>
      <c r="R77" s="10"/>
      <c r="S77" s="10">
        <f t="shared" si="15"/>
        <v>53.300167432890156</v>
      </c>
      <c r="T77" s="10">
        <f t="shared" si="15"/>
        <v>0.663562414909561</v>
      </c>
    </row>
    <row r="78" ht="15.75" customHeight="1"/>
    <row r="79" ht="15.75" customHeight="1"/>
    <row r="80" spans="1:20" ht="15.75" customHeight="1">
      <c r="A80" s="1" t="s">
        <v>14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R80" s="1"/>
      <c r="S80" s="1"/>
      <c r="T80" s="1"/>
    </row>
    <row r="81" spans="2:20" s="1" customFormat="1" ht="31.5" customHeight="1">
      <c r="B81" s="6" t="s">
        <v>2</v>
      </c>
      <c r="C81" s="6" t="s">
        <v>3</v>
      </c>
      <c r="D81" s="6" t="s">
        <v>4</v>
      </c>
      <c r="E81" s="6" t="s">
        <v>5</v>
      </c>
      <c r="F81" s="1" t="s">
        <v>16</v>
      </c>
      <c r="G81" s="6"/>
      <c r="H81" s="6"/>
      <c r="I81" s="6"/>
      <c r="J81" s="6"/>
      <c r="L81" s="6"/>
      <c r="M81" s="6"/>
      <c r="N81" s="6"/>
      <c r="O81" s="6"/>
      <c r="Q81" s="6"/>
      <c r="R81" s="6"/>
      <c r="S81" s="6"/>
      <c r="T81" s="6"/>
    </row>
    <row r="82" spans="1:20" ht="15.75" customHeight="1">
      <c r="A82" s="2" t="s">
        <v>17</v>
      </c>
      <c r="B82" s="10">
        <f>AVERAGE(B45,G45,L45,Q45)</f>
        <v>56.936586251773136</v>
      </c>
      <c r="C82" s="10">
        <f>AVERAGE(C45,H45,M45,R45)</f>
        <v>0.08926835545354547</v>
      </c>
      <c r="D82" s="10">
        <f>AVERAGE(D45,I45,N45,S45)</f>
        <v>42.974145392773316</v>
      </c>
      <c r="E82" s="10">
        <f>AVERAGE(E45,J45,O45,T45)</f>
        <v>0</v>
      </c>
      <c r="F82" s="10">
        <f>SUM(C82:D82)</f>
        <v>43.063413748226864</v>
      </c>
      <c r="G82" s="10"/>
      <c r="H82" s="13"/>
      <c r="I82" s="10"/>
      <c r="J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ht="15.75" customHeight="1">
      <c r="A83" s="2" t="s">
        <v>18</v>
      </c>
      <c r="B83" s="10">
        <f aca="true" t="shared" si="20" ref="B83:B96">AVERAGE(B46,G46,L46,Q46)</f>
        <v>48.66178518396648</v>
      </c>
      <c r="C83" s="10">
        <f aca="true" t="shared" si="21" ref="C83:C96">AVERAGE(C46,H46,M46,R46)</f>
        <v>2.3472490200635585</v>
      </c>
      <c r="D83" s="10">
        <f aca="true" t="shared" si="22" ref="D83:D96">AVERAGE(D46,I46,N46,S46)</f>
        <v>44.761683160116704</v>
      </c>
      <c r="E83" s="10">
        <f aca="true" t="shared" si="23" ref="E83:E96">AVERAGE(E46,J46,O46,T46)</f>
        <v>4.229282635853261</v>
      </c>
      <c r="F83" s="10">
        <f>SUM(C83:D83)</f>
        <v>47.10893218018026</v>
      </c>
      <c r="G83" s="10"/>
      <c r="H83" s="13"/>
      <c r="I83" s="10"/>
      <c r="J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ht="15.75" customHeight="1">
      <c r="A84" s="2" t="s">
        <v>19</v>
      </c>
      <c r="B84" s="10">
        <f t="shared" si="20"/>
        <v>40.25229727562086</v>
      </c>
      <c r="C84" s="10">
        <f t="shared" si="21"/>
        <v>1.449675934216164</v>
      </c>
      <c r="D84" s="10">
        <f t="shared" si="22"/>
        <v>57.40755464151947</v>
      </c>
      <c r="E84" s="10">
        <f t="shared" si="23"/>
        <v>0.8904721486435117</v>
      </c>
      <c r="F84" s="10">
        <f>SUM(C84:D84)</f>
        <v>58.857230575735635</v>
      </c>
      <c r="G84" s="10"/>
      <c r="H84" s="13"/>
      <c r="I84" s="10"/>
      <c r="J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ht="15.75" customHeight="1">
      <c r="A85" s="2" t="s">
        <v>20</v>
      </c>
      <c r="B85" s="10">
        <f t="shared" si="20"/>
        <v>55.7122837994147</v>
      </c>
      <c r="C85" s="10">
        <f t="shared" si="21"/>
        <v>0.015436697269203634</v>
      </c>
      <c r="D85" s="10">
        <f t="shared" si="22"/>
        <v>44.27227950331609</v>
      </c>
      <c r="E85" s="10">
        <f t="shared" si="23"/>
        <v>0</v>
      </c>
      <c r="F85" s="10">
        <f aca="true" t="shared" si="24" ref="F85:F96">SUM(C85:D85)</f>
        <v>44.287716200585294</v>
      </c>
      <c r="G85" s="10"/>
      <c r="H85" s="13"/>
      <c r="I85" s="10"/>
      <c r="J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ht="15.75" customHeight="1">
      <c r="A86" s="2" t="s">
        <v>21</v>
      </c>
      <c r="B86" s="10">
        <f t="shared" si="20"/>
        <v>49.11084586294844</v>
      </c>
      <c r="C86" s="10">
        <f t="shared" si="21"/>
        <v>0.8803100276657453</v>
      </c>
      <c r="D86" s="10">
        <f t="shared" si="22"/>
        <v>50.00884410938581</v>
      </c>
      <c r="E86" s="10">
        <f t="shared" si="23"/>
        <v>0</v>
      </c>
      <c r="F86" s="10">
        <f t="shared" si="24"/>
        <v>50.889154137051555</v>
      </c>
      <c r="G86" s="10"/>
      <c r="H86" s="13"/>
      <c r="I86" s="10"/>
      <c r="J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ht="15.75" customHeight="1">
      <c r="A87" s="2" t="s">
        <v>22</v>
      </c>
      <c r="B87" s="10">
        <f t="shared" si="20"/>
        <v>40.27479005143608</v>
      </c>
      <c r="C87" s="10">
        <f t="shared" si="21"/>
        <v>5.994008867962544</v>
      </c>
      <c r="D87" s="10">
        <f t="shared" si="22"/>
        <v>53.73120108060138</v>
      </c>
      <c r="E87" s="10">
        <f t="shared" si="23"/>
        <v>0</v>
      </c>
      <c r="F87" s="10">
        <f t="shared" si="24"/>
        <v>59.72520994856392</v>
      </c>
      <c r="G87" s="10"/>
      <c r="H87" s="13"/>
      <c r="I87" s="10"/>
      <c r="J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ht="15.75" customHeight="1">
      <c r="A88" s="2" t="s">
        <v>23</v>
      </c>
      <c r="B88" s="10">
        <f t="shared" si="20"/>
        <v>45.368904613171566</v>
      </c>
      <c r="C88" s="10">
        <f t="shared" si="21"/>
        <v>4.568953132467168</v>
      </c>
      <c r="D88" s="10">
        <f t="shared" si="22"/>
        <v>50.06214225436126</v>
      </c>
      <c r="E88" s="10">
        <f t="shared" si="23"/>
        <v>0</v>
      </c>
      <c r="F88" s="10">
        <f t="shared" si="24"/>
        <v>54.631095386828434</v>
      </c>
      <c r="G88" s="10"/>
      <c r="H88" s="13"/>
      <c r="I88" s="10"/>
      <c r="J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ht="15.75" customHeight="1">
      <c r="A89" s="2" t="s">
        <v>24</v>
      </c>
      <c r="B89" s="10">
        <f t="shared" si="20"/>
        <v>46.53349900906545</v>
      </c>
      <c r="C89" s="10">
        <f t="shared" si="21"/>
        <v>0.1464986815118664</v>
      </c>
      <c r="D89" s="10">
        <f t="shared" si="22"/>
        <v>53.32000230942268</v>
      </c>
      <c r="E89" s="10">
        <f t="shared" si="23"/>
        <v>0</v>
      </c>
      <c r="F89" s="10">
        <f t="shared" si="24"/>
        <v>53.46650099093454</v>
      </c>
      <c r="G89" s="10"/>
      <c r="H89" s="13"/>
      <c r="I89" s="10"/>
      <c r="J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ht="15.75" customHeight="1">
      <c r="A90" s="2" t="s">
        <v>25</v>
      </c>
      <c r="B90" s="10">
        <f t="shared" si="20"/>
        <v>43.3792985500138</v>
      </c>
      <c r="C90" s="10">
        <f t="shared" si="21"/>
        <v>0.15804922104312485</v>
      </c>
      <c r="D90" s="10">
        <f t="shared" si="22"/>
        <v>56.04899213963824</v>
      </c>
      <c r="E90" s="10">
        <f t="shared" si="23"/>
        <v>0.41366008930484643</v>
      </c>
      <c r="F90" s="10">
        <f t="shared" si="24"/>
        <v>56.20704136068136</v>
      </c>
      <c r="G90" s="10"/>
      <c r="H90" s="13"/>
      <c r="I90" s="10"/>
      <c r="J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ht="15.75" customHeight="1">
      <c r="A91" s="2" t="s">
        <v>26</v>
      </c>
      <c r="B91" s="10">
        <f t="shared" si="20"/>
        <v>41.86404828618048</v>
      </c>
      <c r="C91" s="10">
        <f t="shared" si="21"/>
        <v>3.348805550880245</v>
      </c>
      <c r="D91" s="10">
        <f t="shared" si="22"/>
        <v>54.78714616293927</v>
      </c>
      <c r="E91" s="10">
        <f t="shared" si="23"/>
        <v>0</v>
      </c>
      <c r="F91" s="10">
        <f t="shared" si="24"/>
        <v>58.135951713819516</v>
      </c>
      <c r="G91" s="10"/>
      <c r="H91" s="13"/>
      <c r="I91" s="10"/>
      <c r="J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ht="15.75" customHeight="1">
      <c r="A92" s="2" t="s">
        <v>27</v>
      </c>
      <c r="B92" s="10">
        <f t="shared" si="20"/>
        <v>50.685865342922085</v>
      </c>
      <c r="C92" s="10">
        <f t="shared" si="21"/>
        <v>4.277040201089458</v>
      </c>
      <c r="D92" s="10">
        <f t="shared" si="22"/>
        <v>44.04447873076663</v>
      </c>
      <c r="E92" s="10">
        <f t="shared" si="23"/>
        <v>0.9926157252218357</v>
      </c>
      <c r="F92" s="10">
        <f t="shared" si="24"/>
        <v>48.32151893185608</v>
      </c>
      <c r="G92" s="10"/>
      <c r="H92" s="13"/>
      <c r="I92" s="10"/>
      <c r="J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ht="15.75" customHeight="1">
      <c r="A93" s="2" t="s">
        <v>28</v>
      </c>
      <c r="B93" s="10">
        <f t="shared" si="20"/>
        <v>42.00210501511133</v>
      </c>
      <c r="C93" s="10">
        <f t="shared" si="21"/>
        <v>1.7982202178494944</v>
      </c>
      <c r="D93" s="10">
        <f t="shared" si="22"/>
        <v>53.2595241486487</v>
      </c>
      <c r="E93" s="10">
        <f t="shared" si="23"/>
        <v>2.940150618390476</v>
      </c>
      <c r="F93" s="10">
        <f t="shared" si="24"/>
        <v>55.0577443664982</v>
      </c>
      <c r="G93" s="10"/>
      <c r="H93" s="13"/>
      <c r="I93" s="10"/>
      <c r="J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ht="15.75" customHeight="1">
      <c r="A94" s="2" t="s">
        <v>29</v>
      </c>
      <c r="B94" s="10">
        <f t="shared" si="20"/>
        <v>43.87250931589501</v>
      </c>
      <c r="C94" s="10">
        <f t="shared" si="21"/>
        <v>5.274629898720098</v>
      </c>
      <c r="D94" s="10">
        <f t="shared" si="22"/>
        <v>50.85286078538489</v>
      </c>
      <c r="E94" s="10">
        <f t="shared" si="23"/>
        <v>0</v>
      </c>
      <c r="F94" s="10">
        <f t="shared" si="24"/>
        <v>56.12749068410499</v>
      </c>
      <c r="G94" s="10"/>
      <c r="H94" s="13"/>
      <c r="I94" s="10"/>
      <c r="J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ht="15.75" customHeight="1">
      <c r="A95" s="2" t="s">
        <v>30</v>
      </c>
      <c r="B95" s="10">
        <f t="shared" si="20"/>
        <v>42.31712895023828</v>
      </c>
      <c r="C95" s="10">
        <f t="shared" si="21"/>
        <v>6.786000528197675</v>
      </c>
      <c r="D95" s="10">
        <f t="shared" si="22"/>
        <v>50.54472291769096</v>
      </c>
      <c r="E95" s="10">
        <f t="shared" si="23"/>
        <v>0.3521476038730996</v>
      </c>
      <c r="F95" s="10">
        <f t="shared" si="24"/>
        <v>57.33072344588864</v>
      </c>
      <c r="G95" s="7"/>
      <c r="H95" s="7"/>
      <c r="I95" s="7"/>
      <c r="J95" s="7"/>
      <c r="L95" s="10"/>
      <c r="M95" s="10"/>
      <c r="N95" s="10"/>
      <c r="O95" s="10"/>
      <c r="P95" s="10"/>
      <c r="Q95" s="10"/>
      <c r="R95" s="10"/>
      <c r="S95" s="10"/>
      <c r="T95" s="10"/>
    </row>
    <row r="96" spans="1:6" ht="14.25">
      <c r="A96" s="2" t="s">
        <v>31</v>
      </c>
      <c r="B96" s="10">
        <f t="shared" si="20"/>
        <v>44.75309035917733</v>
      </c>
      <c r="C96" s="10">
        <f t="shared" si="21"/>
        <v>1.6713161851907676</v>
      </c>
      <c r="D96" s="10">
        <f t="shared" si="22"/>
        <v>52.94131108134958</v>
      </c>
      <c r="E96" s="10">
        <f t="shared" si="23"/>
        <v>0.6342823742823239</v>
      </c>
      <c r="F96" s="10">
        <f t="shared" si="24"/>
        <v>54.61262726654035</v>
      </c>
    </row>
    <row r="98" spans="1:5" ht="15">
      <c r="A98" s="1" t="s">
        <v>15</v>
      </c>
      <c r="B98" s="14">
        <f>AVERAGE(B82:B96)</f>
        <v>46.115002524462334</v>
      </c>
      <c r="C98" s="14">
        <f>AVERAGE(C82:C96)</f>
        <v>2.5870308346387105</v>
      </c>
      <c r="D98" s="14">
        <f>AVERAGE(D82:D96)</f>
        <v>50.60112589452766</v>
      </c>
      <c r="E98" s="14">
        <f>AVERAGE(E82:E96)</f>
        <v>0.6968407463712902</v>
      </c>
    </row>
  </sheetData>
  <sheetProtection/>
  <mergeCells count="8">
    <mergeCell ref="B23:E23"/>
    <mergeCell ref="G23:J23"/>
    <mergeCell ref="L23:O23"/>
    <mergeCell ref="Q23:T23"/>
    <mergeCell ref="B24:E24"/>
    <mergeCell ref="G24:J24"/>
    <mergeCell ref="L24:O24"/>
    <mergeCell ref="Q24:T24"/>
  </mergeCells>
  <printOptions/>
  <pageMargins left="0.75" right="0.75" top="1" bottom="1" header="0.5" footer="0.5"/>
  <pageSetup fitToHeight="2" horizontalDpi="600" verticalDpi="600" orientation="landscape" scale="59" r:id="rId1"/>
  <headerFooter alignWithMargins="0">
    <oddHeader>&amp;R&amp;A</oddHeader>
  </headerFooter>
  <rowBreaks count="1" manualBreakCount="1">
    <brk id="4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Foster Associates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NPB IR-095 Att 30 ELECTRONIC.xls</dc:title>
  <dc:subject/>
  <dc:creator>Karen Morgan</dc:creator>
  <cp:keywords/>
  <dc:description/>
  <cp:lastModifiedBy>Cyr, Jennifer</cp:lastModifiedBy>
  <cp:lastPrinted>2011-06-22T13:47:59Z</cp:lastPrinted>
  <dcterms:created xsi:type="dcterms:W3CDTF">2007-06-04T18:26:18Z</dcterms:created>
  <dcterms:modified xsi:type="dcterms:W3CDTF">2011-06-22T13:48:41Z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0x0101008F037BDC092A6E4FAB31A8097A017794</vt:lpwstr>
  </property>
  <property fmtid="{D5CDD505-2E9C-101B-9397-08002B2CF9AE}" pid="3" name="Assigned to0">
    <vt:lpwstr>15</vt:lpwstr>
  </property>
  <property fmtid="{D5CDD505-2E9C-101B-9397-08002B2CF9AE}" pid="4" name="Confidential">
    <vt:lpwstr>Non-Confidential</vt:lpwstr>
  </property>
  <property fmtid="{D5CDD505-2E9C-101B-9397-08002B2CF9AE}" pid="5" name="Date Due to OI (9am)">
    <vt:lpwstr>2011-06-23T00:00:00Z</vt:lpwstr>
  </property>
  <property fmtid="{D5CDD505-2E9C-101B-9397-08002B2CF9AE}" pid="6" name="display_urn:schemas-microsoft-com:office:office#Assigned_x0020_to0">
    <vt:lpwstr>PETERS, NICHOLAS</vt:lpwstr>
  </property>
  <property fmtid="{D5CDD505-2E9C-101B-9397-08002B2CF9AE}" pid="7" name="Date Rec'd">
    <vt:lpwstr>2011-06-16T00:00:00Z</vt:lpwstr>
  </property>
  <property fmtid="{D5CDD505-2E9C-101B-9397-08002B2CF9AE}" pid="8" name="Date for Sign-off">
    <vt:lpwstr>2011-06-28T00:00:00Z</vt:lpwstr>
  </property>
  <property fmtid="{D5CDD505-2E9C-101B-9397-08002B2CF9AE}" pid="9" name="Order">
    <vt:lpwstr>208800.000000000</vt:lpwstr>
  </property>
  <property fmtid="{D5CDD505-2E9C-101B-9397-08002B2CF9AE}" pid="10" name="Reviewer">
    <vt:lpwstr>19</vt:lpwstr>
  </property>
  <property fmtid="{D5CDD505-2E9C-101B-9397-08002B2CF9AE}" pid="11" name="Ownership">
    <vt:lpwstr>8) Sign-Off</vt:lpwstr>
  </property>
  <property fmtid="{D5CDD505-2E9C-101B-9397-08002B2CF9AE}" pid="12" name="display_urn:schemas-microsoft-com:office:office#Reviewer">
    <vt:lpwstr>KEHOE, CLAUDETTE</vt:lpwstr>
  </property>
  <property fmtid="{D5CDD505-2E9C-101B-9397-08002B2CF9AE}" pid="13" name="File Electronically?">
    <vt:lpwstr>1</vt:lpwstr>
  </property>
  <property fmtid="{D5CDD505-2E9C-101B-9397-08002B2CF9AE}" pid="14" name="File Date">
    <vt:lpwstr>2011-06-30T00:00:00Z</vt:lpwstr>
  </property>
</Properties>
</file>