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25" windowWidth="12720" windowHeight="5010" tabRatio="877" activeTab="0"/>
  </bookViews>
  <sheets>
    <sheet name="Summary" sheetId="1" r:id="rId1"/>
    <sheet name="Bundled Service" sheetId="2" r:id="rId2"/>
    <sheet name="RtR Market DT" sheetId="3" r:id="rId3"/>
    <sheet name="RtR Market OATT" sheetId="4" r:id="rId4"/>
    <sheet name="RtR Market EBS " sheetId="5" r:id="rId5"/>
    <sheet name="RtR Market SS" sheetId="6" r:id="rId6"/>
    <sheet name="RtR Market RTT" sheetId="7" r:id="rId7"/>
    <sheet name="COSS Losses" sheetId="8" r:id="rId8"/>
    <sheet name="Customer Usage database" sheetId="9" r:id="rId9"/>
  </sheets>
  <definedNames>
    <definedName name="\O">#REF!</definedName>
    <definedName name="a_transfer" localSheetId="8">#REF!</definedName>
    <definedName name="a_transfer" localSheetId="2">#REF!</definedName>
    <definedName name="a_transfer" localSheetId="4">#REF!</definedName>
    <definedName name="a_transfer" localSheetId="3">#REF!</definedName>
    <definedName name="a_transfer" localSheetId="5">#REF!</definedName>
    <definedName name="a_transfer">#REF!</definedName>
    <definedName name="DATA">#REF!</definedName>
    <definedName name="DLGPRMODEMAND">#REF!</definedName>
    <definedName name="DLGPRMODMD_IN">#REF!</definedName>
    <definedName name="DLGPRMODMD_OK">#REF!</definedName>
    <definedName name="DLGPRMODMD_OUT">#REF!</definedName>
    <definedName name="DLGPRREPORT">#REF!</definedName>
    <definedName name="DLGPRREPORT_IN">#REF!</definedName>
    <definedName name="DLGPRREPORT_OK">#REF!</definedName>
    <definedName name="DLGPRREPORT_OUT">#REF!</definedName>
    <definedName name="DLGPRSUMARY_OUT">#REF!</definedName>
    <definedName name="DLGPRSUMMARY">#REF!</definedName>
    <definedName name="DLGPRSUMMARY_IN">#REF!</definedName>
    <definedName name="DLGPRSUMMARY_OK">#REF!</definedName>
    <definedName name="EX9AANNUAL">#REF!</definedName>
    <definedName name="EX9AAPRIL">#REF!</definedName>
    <definedName name="EX9AAUGUST">#REF!</definedName>
    <definedName name="EX9ADECEMBER">#REF!</definedName>
    <definedName name="EX9AFEBRUARY">#REF!</definedName>
    <definedName name="EX9AJANUARY">#REF!</definedName>
    <definedName name="EX9AJULY">#REF!</definedName>
    <definedName name="EX9AJUNE">#REF!</definedName>
    <definedName name="EX9AMARCH">#REF!</definedName>
    <definedName name="EX9AMAY">#REF!</definedName>
    <definedName name="EX9ANOVEMBER">#REF!</definedName>
    <definedName name="EX9AOCTOBER">#REF!</definedName>
    <definedName name="EX9ASEPTEMBER">#REF!</definedName>
    <definedName name="EXH1">#REF!</definedName>
    <definedName name="EXH2">#REF!</definedName>
    <definedName name="EXH2A">#REF!</definedName>
    <definedName name="EXH2B">#REF!</definedName>
    <definedName name="EXH3">#REF!</definedName>
    <definedName name="EXH3_1">#REF!</definedName>
    <definedName name="EXH3A">#REF!</definedName>
    <definedName name="EXH3B">#REF!</definedName>
    <definedName name="EXH3C">#REF!</definedName>
    <definedName name="EXH3D">#REF!</definedName>
    <definedName name="EXH3E">#REF!</definedName>
    <definedName name="EXH3F">#REF!</definedName>
    <definedName name="EXH4">#REF!</definedName>
    <definedName name="EXH4A">#REF!</definedName>
    <definedName name="EXH5">#REF!</definedName>
    <definedName name="EXH6">#REF!</definedName>
    <definedName name="EXH6A">#REF!</definedName>
    <definedName name="EXH6B">#REF!</definedName>
    <definedName name="EXH6C">#REF!</definedName>
    <definedName name="EXH6D">#REF!</definedName>
    <definedName name="EXH7">#REF!</definedName>
    <definedName name="EXH8A">#REF!</definedName>
    <definedName name="EXH8B">#REF!</definedName>
    <definedName name="EXH9A">#REF!</definedName>
    <definedName name="EXH9B">#REF!</definedName>
    <definedName name="EXH9C">#REF!</definedName>
    <definedName name="GENERAL">#REF!</definedName>
    <definedName name="GENERAL1">#REF!</definedName>
    <definedName name="INDEX">#REF!</definedName>
    <definedName name="INPUT">#REF!</definedName>
    <definedName name="INTERRUPTIBLE">#REF!</definedName>
    <definedName name="INTERRUPTIBLE1">#REF!</definedName>
    <definedName name="LARGEGENERAL">#REF!</definedName>
    <definedName name="LARGEGENERAL1">#REF!</definedName>
    <definedName name="LARGEINDUST1">#REF!</definedName>
    <definedName name="LARGEINDUSTRIAL">#REF!</definedName>
    <definedName name="MEDIUMINDUST">#REF!</definedName>
    <definedName name="MEDIUMINDUST1">#REF!</definedName>
    <definedName name="MENUINSERT">#REF!</definedName>
    <definedName name="MENUMACROSRANGE">#REF!</definedName>
    <definedName name="MUNICIPAL">#REF!</definedName>
    <definedName name="MUNICIPAL1">#REF!</definedName>
    <definedName name="PRANNUAL">#REF!</definedName>
    <definedName name="PRAPRIL">#REF!</definedName>
    <definedName name="PRAUGUST">#REF!</definedName>
    <definedName name="PRCOSTSUMMARY">#REF!</definedName>
    <definedName name="PRDATA">#REF!</definedName>
    <definedName name="PRDECEMBER">#REF!</definedName>
    <definedName name="PREXH1">#REF!</definedName>
    <definedName name="PREXH2">#REF!</definedName>
    <definedName name="PREXH2A">#REF!</definedName>
    <definedName name="PREXH2B">#REF!</definedName>
    <definedName name="PREXH3">#REF!</definedName>
    <definedName name="PREXH3_1">#REF!</definedName>
    <definedName name="PREXH3A">#REF!</definedName>
    <definedName name="PREXH3B">#REF!</definedName>
    <definedName name="PREXH3C">#REF!</definedName>
    <definedName name="PREXH3D">#REF!</definedName>
    <definedName name="PREXH3E">#REF!</definedName>
    <definedName name="PREXH3F">#REF!</definedName>
    <definedName name="PREXH4">#REF!</definedName>
    <definedName name="PREXH4A">#REF!</definedName>
    <definedName name="PREXH5">#REF!</definedName>
    <definedName name="PREXH6">#REF!</definedName>
    <definedName name="PREXH6A">#REF!</definedName>
    <definedName name="PREXH6B">#REF!</definedName>
    <definedName name="PREXH6C">#REF!</definedName>
    <definedName name="PREXH6D">#REF!</definedName>
    <definedName name="PREXH7">#REF!</definedName>
    <definedName name="PREXH8A">#REF!</definedName>
    <definedName name="PREXH8B">#REF!</definedName>
    <definedName name="PREXH9A">#REF!</definedName>
    <definedName name="PREXH9B">#REF!</definedName>
    <definedName name="PREXH9C">#REF!</definedName>
    <definedName name="PRFEBRUARY">#REF!</definedName>
    <definedName name="PRGENERAL">#REF!</definedName>
    <definedName name="PRGENERAL1">#REF!</definedName>
    <definedName name="_xlnm.Print_Area" localSheetId="1">'Bundled Service'!$A$1:$AQ$30</definedName>
    <definedName name="_xlnm.Print_Area" localSheetId="7">'COSS Losses'!$A$1:$K$166</definedName>
    <definedName name="_xlnm.Print_Area" localSheetId="2">'RtR Market DT'!$A$1:$AQ$29</definedName>
    <definedName name="_xlnm.Print_Area" localSheetId="4">'RtR Market EBS '!$A$1:$AE$108</definedName>
    <definedName name="_xlnm.Print_Area" localSheetId="3">'RtR Market OATT'!$A$2:$AE$64</definedName>
    <definedName name="_xlnm.Print_Area" localSheetId="6">'RtR Market RTT'!$A$1:$G$28</definedName>
    <definedName name="_xlnm.Print_Area" localSheetId="5">'RtR Market SS'!$A$1:$AO$89</definedName>
    <definedName name="_xlnm.Print_Area" localSheetId="0">'Summary'!$A$1:$AO$20</definedName>
    <definedName name="PRINTERRUPT1">#REF!</definedName>
    <definedName name="PRINTERRUPTIBLE">#REF!</definedName>
    <definedName name="PRJANUARY">#REF!</definedName>
    <definedName name="PRJULY">#REF!</definedName>
    <definedName name="PRJUNE">#REF!</definedName>
    <definedName name="PRLARGEGENERAL">#REF!</definedName>
    <definedName name="PRLARGEGENERAL1">#REF!</definedName>
    <definedName name="PRLARGEINDUST">#REF!</definedName>
    <definedName name="PRLARGEINDUST1">#REF!</definedName>
    <definedName name="PRMARCH">#REF!</definedName>
    <definedName name="PRMAY">#REF!</definedName>
    <definedName name="PRMEDIUMINDUST">#REF!</definedName>
    <definedName name="PRMEDIUMINDUST1">#REF!</definedName>
    <definedName name="PRMONTHLYDEMAND">#REF!</definedName>
    <definedName name="PRMUNICIPAL">#REF!</definedName>
    <definedName name="PRMUNICIPAL1">#REF!</definedName>
    <definedName name="PRNOVEMBER">#REF!</definedName>
    <definedName name="PROCTOBER">#REF!</definedName>
    <definedName name="PRREPORT">#REF!</definedName>
    <definedName name="PRRESIDENTIAL1">#REF!</definedName>
    <definedName name="PRRESIDENTIAL1R">#REF!</definedName>
    <definedName name="PRRESIDENTIAL2">#REF!</definedName>
    <definedName name="PRRESIDENTIAL2R">#REF!</definedName>
    <definedName name="PRRESIDENTIAL3">#REF!</definedName>
    <definedName name="PRRESIDENTIAL3R">#REF!</definedName>
    <definedName name="PRSEPTEMBER">#REF!</definedName>
    <definedName name="PRSMALLGENERAL">#REF!</definedName>
    <definedName name="PRSMALLGENERAL1">#REF!</definedName>
    <definedName name="PRSMALLINDUST">#REF!</definedName>
    <definedName name="PRSMALLINDUST1">#REF!</definedName>
    <definedName name="PRSUB">#REF!</definedName>
    <definedName name="PRSUMMARY">#REF!</definedName>
    <definedName name="PRUNMETERED">#REF!</definedName>
    <definedName name="PRUNMETERED1">#REF!</definedName>
    <definedName name="RESIDENTIAL1">#REF!</definedName>
    <definedName name="RESIDENTIAL1A">#REF!</definedName>
    <definedName name="SMALLGENERAL">#REF!</definedName>
    <definedName name="SMALLGENERAL1">#REF!</definedName>
    <definedName name="SMALLINDUST1">#REF!</definedName>
    <definedName name="SMALLINDUSTRIAL">#REF!</definedName>
    <definedName name="UNMETERED">#REF!</definedName>
    <definedName name="UNMETERED1">#REF!</definedName>
  </definedNames>
  <calcPr fullCalcOnLoad="1"/>
</workbook>
</file>

<file path=xl/comments5.xml><?xml version="1.0" encoding="utf-8"?>
<comments xmlns="http://schemas.openxmlformats.org/spreadsheetml/2006/main">
  <authors>
    <author>GRUS, VOYTEK</author>
  </authors>
  <commentList>
    <comment ref="D70" authorId="0">
      <text>
        <r>
          <rPr>
            <b/>
            <sz val="9"/>
            <rFont val="Tahoma"/>
            <family val="2"/>
          </rPr>
          <t>GRUS, VOYTEK:</t>
        </r>
        <r>
          <rPr>
            <sz val="9"/>
            <rFont val="Tahoma"/>
            <family val="2"/>
          </rPr>
          <t xml:space="preserve">
Includes energy delivery under Standby Capacity Service in replacement of  output from Wind Farm #2 shutdown for maintenance.</t>
        </r>
      </text>
    </comment>
    <comment ref="H47" authorId="0">
      <text>
        <r>
          <rPr>
            <b/>
            <sz val="9"/>
            <rFont val="Tahoma"/>
            <family val="2"/>
          </rPr>
          <t>GRUS, VOYTEK:</t>
        </r>
        <r>
          <rPr>
            <sz val="9"/>
            <rFont val="Tahoma"/>
            <family val="2"/>
          </rPr>
          <t xml:space="preserve">
Shut down for maintenance and  repairs for 3 weeks</t>
        </r>
      </text>
    </comment>
    <comment ref="H48" authorId="0">
      <text>
        <r>
          <rPr>
            <b/>
            <sz val="9"/>
            <rFont val="Tahoma"/>
            <family val="2"/>
          </rPr>
          <t>GRUS, VOYTEK:</t>
        </r>
        <r>
          <rPr>
            <sz val="9"/>
            <rFont val="Tahoma"/>
            <family val="2"/>
          </rPr>
          <t xml:space="preserve">
Shutdown for maintenance for the whole month.</t>
        </r>
      </text>
    </comment>
    <comment ref="C51" authorId="0">
      <text>
        <r>
          <rPr>
            <b/>
            <sz val="9"/>
            <rFont val="Tahoma"/>
            <family val="2"/>
          </rPr>
          <t>GRUS, VOYTEK:</t>
        </r>
        <r>
          <rPr>
            <sz val="9"/>
            <rFont val="Tahoma"/>
            <family val="2"/>
          </rPr>
          <t xml:space="preserve">
Due to a manufacturing defect in about half of the installed wind turbines,   discovered after their installation, some of their components were recalled by the manufacturer for repairs causing a reduction in operating capacity for the entire month.   
</t>
        </r>
      </text>
    </comment>
  </commentList>
</comments>
</file>

<file path=xl/comments6.xml><?xml version="1.0" encoding="utf-8"?>
<comments xmlns="http://schemas.openxmlformats.org/spreadsheetml/2006/main">
  <authors>
    <author>GRUS, VOYTEK</author>
  </authors>
  <commentList>
    <comment ref="B59" authorId="0">
      <text>
        <r>
          <rPr>
            <b/>
            <sz val="9"/>
            <rFont val="Tahoma"/>
            <family val="2"/>
          </rPr>
          <t>GRUS, VOYTEK:</t>
        </r>
        <r>
          <rPr>
            <sz val="9"/>
            <rFont val="Tahoma"/>
            <family val="2"/>
          </rPr>
          <t xml:space="preserve">
Temporary derate of installed capacity due to unforeseen technical problems with several turbines.  Assume manufacturing defect on about half of the turbines which resulted in their decommissioning for a duration of one full month.</t>
        </r>
      </text>
    </comment>
  </commentList>
</comments>
</file>

<file path=xl/sharedStrings.xml><?xml version="1.0" encoding="utf-8"?>
<sst xmlns="http://schemas.openxmlformats.org/spreadsheetml/2006/main" count="1060" uniqueCount="275">
  <si>
    <t>DOMESTIC</t>
  </si>
  <si>
    <t>GENERAL</t>
  </si>
  <si>
    <t>UNMETERED</t>
  </si>
  <si>
    <t xml:space="preserve"> </t>
  </si>
  <si>
    <t xml:space="preserve">January </t>
  </si>
  <si>
    <t xml:space="preserve">February </t>
  </si>
  <si>
    <t xml:space="preserve">March </t>
  </si>
  <si>
    <t xml:space="preserve">April </t>
  </si>
  <si>
    <t xml:space="preserve">May </t>
  </si>
  <si>
    <t xml:space="preserve">June </t>
  </si>
  <si>
    <t xml:space="preserve">July </t>
  </si>
  <si>
    <t xml:space="preserve">August </t>
  </si>
  <si>
    <t xml:space="preserve">September </t>
  </si>
  <si>
    <t xml:space="preserve">October </t>
  </si>
  <si>
    <t xml:space="preserve">November </t>
  </si>
  <si>
    <t xml:space="preserve">December </t>
  </si>
  <si>
    <t xml:space="preserve"> SMALL GENERAL</t>
  </si>
  <si>
    <t>GENERAL LARGE</t>
  </si>
  <si>
    <t xml:space="preserve"> SMALL INDUST.</t>
  </si>
  <si>
    <t xml:space="preserve"> MEDIUM INDUST.</t>
  </si>
  <si>
    <t>INDUSTRIAL LARGE</t>
  </si>
  <si>
    <t xml:space="preserve"> UNMETERED</t>
  </si>
  <si>
    <t>D-connected, Firm</t>
  </si>
  <si>
    <t>T-connected, Firm</t>
  </si>
  <si>
    <t>TOTAL</t>
  </si>
  <si>
    <t>KWS</t>
  </si>
  <si>
    <t>Customers</t>
  </si>
  <si>
    <t>CUSTOMERS</t>
  </si>
  <si>
    <t>T Losses</t>
  </si>
  <si>
    <t>kWh</t>
  </si>
  <si>
    <t>Revenue</t>
  </si>
  <si>
    <t>Unit Revenue (¢/kWh)</t>
  </si>
  <si>
    <t>Customer Charge ($/month)</t>
  </si>
  <si>
    <t>Energy Charge, block 2 (¢/kWh)</t>
  </si>
  <si>
    <t>Demand Charge ($/kVA)</t>
  </si>
  <si>
    <t>Energy Charge, block 1  (¢/kWh)</t>
  </si>
  <si>
    <t>SMALL INDUSTRIAL</t>
  </si>
  <si>
    <t>MEDIUM INDUSTRIAL</t>
  </si>
  <si>
    <t>LARGE INDUSTRIAL FIRM (Distribution)</t>
  </si>
  <si>
    <t>HPS Lights</t>
  </si>
  <si>
    <t>HPS Full Charge</t>
  </si>
  <si>
    <t>DISTRIBUTION TARIFF</t>
  </si>
  <si>
    <t>OATT</t>
  </si>
  <si>
    <t>Total</t>
  </si>
  <si>
    <t>RtR direct Delivery</t>
  </si>
  <si>
    <t>Top-up</t>
  </si>
  <si>
    <t>Spill</t>
  </si>
  <si>
    <t xml:space="preserve">Top-up </t>
  </si>
  <si>
    <t>Net</t>
  </si>
  <si>
    <t>Capacity Factor</t>
  </si>
  <si>
    <t xml:space="preserve">Distribution </t>
  </si>
  <si>
    <t>Metered</t>
  </si>
  <si>
    <t>Schedule 1</t>
  </si>
  <si>
    <t>Scheduling, System Control and Dispatch</t>
  </si>
  <si>
    <t>Schedule 2</t>
  </si>
  <si>
    <t>Reactive Supply and Voltage</t>
  </si>
  <si>
    <t>Schedule 3</t>
  </si>
  <si>
    <t>Regulation</t>
  </si>
  <si>
    <t>Frequency</t>
  </si>
  <si>
    <t>Schedule 5</t>
  </si>
  <si>
    <t>Operating Reserve - Spinning Reserve</t>
  </si>
  <si>
    <t>Schedule 6</t>
  </si>
  <si>
    <t>Operating Reserve - Supplemental Reserve 10 min</t>
  </si>
  <si>
    <t>Operating Reserve - Supplemental Reserve 30 min</t>
  </si>
  <si>
    <t>Schedule 10</t>
  </si>
  <si>
    <t>Network Integration</t>
  </si>
  <si>
    <t>$/MW/Month</t>
  </si>
  <si>
    <t>Transmission</t>
  </si>
  <si>
    <t>Ancillary</t>
  </si>
  <si>
    <t>Revenues</t>
  </si>
  <si>
    <t>Load Factor</t>
  </si>
  <si>
    <t>Usage</t>
  </si>
  <si>
    <t>Days</t>
  </si>
  <si>
    <t>Unit Rev</t>
  </si>
  <si>
    <t>(c/kWh)</t>
  </si>
  <si>
    <t>Admin Charge</t>
  </si>
  <si>
    <t>Discount Applied</t>
  </si>
  <si>
    <t>Cents per kWh</t>
  </si>
  <si>
    <t>from 0% to 10% of Annual LRS Load</t>
  </si>
  <si>
    <t>from 10% to 20% of Annual LRS Load</t>
  </si>
  <si>
    <t>from 20% to 30% of Annual LRS Load</t>
  </si>
  <si>
    <t>greater than 30% of Annual LRS Load</t>
  </si>
  <si>
    <t>ENERGY BALANCING SERVICE</t>
  </si>
  <si>
    <t xml:space="preserve">installed Capacity </t>
  </si>
  <si>
    <t>Wind Farm #1 NRIS-connected</t>
  </si>
  <si>
    <t>Total Output</t>
  </si>
  <si>
    <t>% of Load</t>
  </si>
  <si>
    <t>At generator's gate</t>
  </si>
  <si>
    <t>Transmission Losses</t>
  </si>
  <si>
    <t>Load at Transmission level</t>
  </si>
  <si>
    <t>USAGE</t>
  </si>
  <si>
    <t>DISTR.</t>
  </si>
  <si>
    <t>SMALL GENERAL</t>
  </si>
  <si>
    <t>TRANS.</t>
  </si>
  <si>
    <t>NC Demand Adj fct</t>
  </si>
  <si>
    <t>max</t>
  </si>
  <si>
    <t>REVENUE</t>
  </si>
  <si>
    <t>kW</t>
  </si>
  <si>
    <t>LOSSES</t>
  </si>
  <si>
    <t>KW</t>
  </si>
  <si>
    <t>SYSTEM LOSSES (%)</t>
  </si>
  <si>
    <t>DISTRIBUTION LOSSES (%)</t>
  </si>
  <si>
    <t>SYSTEM COINCIDENT DEMANDS LOSSES (%)</t>
  </si>
  <si>
    <t>DISTR SYSTEM COINCIDENT DEMANDS LOSSES (%)</t>
  </si>
  <si>
    <t>$/MWh</t>
  </si>
  <si>
    <t>TOP-UP</t>
  </si>
  <si>
    <t>SPILL</t>
  </si>
  <si>
    <t>ADMIN CHARGE</t>
  </si>
  <si>
    <t>Energy Charge  (¢/kWh)</t>
  </si>
  <si>
    <t>Monthly Energy Credit  (¢/kWh)</t>
  </si>
  <si>
    <t>Distr. Losses</t>
  </si>
  <si>
    <t>Ancillary Gen. Services</t>
  </si>
  <si>
    <t>Transmission and Scheduling Service</t>
  </si>
  <si>
    <t>10% to 20%</t>
  </si>
  <si>
    <t>20% to 30%</t>
  </si>
  <si>
    <t>&gt; 30%</t>
  </si>
  <si>
    <t>Annual Excess Spill by refund category</t>
  </si>
  <si>
    <t>Net of Top-up</t>
  </si>
  <si>
    <t>0% to 10%</t>
  </si>
  <si>
    <t>BILL  CALCULATION</t>
  </si>
  <si>
    <t>EBS BILL  CALCULATION</t>
  </si>
  <si>
    <t>Upper Spill Bound</t>
  </si>
  <si>
    <t>Annual Excess Spill Refund</t>
  </si>
  <si>
    <t xml:space="preserve">Spill Quantity Range </t>
  </si>
  <si>
    <t>RATES</t>
  </si>
  <si>
    <t>Installed Capacity</t>
  </si>
  <si>
    <t>Wind Farm #1</t>
  </si>
  <si>
    <t>Wind Farm #2</t>
  </si>
  <si>
    <t>MWs</t>
  </si>
  <si>
    <t>Type</t>
  </si>
  <si>
    <t>NRIS</t>
  </si>
  <si>
    <t>TOTAL AFTER SPILL REFUND</t>
  </si>
  <si>
    <t>BUNDLED TARIFF</t>
  </si>
  <si>
    <t>STANDBY SERVICE</t>
  </si>
  <si>
    <t>Demand Charge</t>
  </si>
  <si>
    <t>Classes</t>
  </si>
  <si>
    <t>Jan, Feb, Dec</t>
  </si>
  <si>
    <t>Mar, Apr</t>
  </si>
  <si>
    <t>May, June</t>
  </si>
  <si>
    <t xml:space="preserve"> Jul, Aug, Sep</t>
  </si>
  <si>
    <t>Oct, Nov</t>
  </si>
  <si>
    <t>Domestic</t>
  </si>
  <si>
    <t>Small General</t>
  </si>
  <si>
    <t>General</t>
  </si>
  <si>
    <t>Large General</t>
  </si>
  <si>
    <t>Small Industrial</t>
  </si>
  <si>
    <t>Medium Industrial</t>
  </si>
  <si>
    <t>Large Industrial Firm</t>
  </si>
  <si>
    <t>Unmetered</t>
  </si>
  <si>
    <t>Applicable Capacity Contribution Factor</t>
  </si>
  <si>
    <t>Class Monthly Coincident Demand at Transmission Level  Adjustment Factor</t>
  </si>
  <si>
    <t>TRANS. WINTER EQUIVALENT</t>
  </si>
  <si>
    <t>Weighted Ave</t>
  </si>
  <si>
    <t>Capacity Contribution</t>
  </si>
  <si>
    <t>Factor</t>
  </si>
  <si>
    <t>Total Capacity Contribution</t>
  </si>
  <si>
    <t>RtR MARKET GENERATION CAPACITY (MWs)</t>
  </si>
  <si>
    <t>Planning Reserve Margin</t>
  </si>
  <si>
    <t>Contributed Capacity</t>
  </si>
  <si>
    <t>At Generator's Gate</t>
  </si>
  <si>
    <t>Before Planning Reserve Margin</t>
  </si>
  <si>
    <t>STANDBY CONTRACT DEMAND REVENUE</t>
  </si>
  <si>
    <t>ADMIN CHARGE REVENUE</t>
  </si>
  <si>
    <t>Amount</t>
  </si>
  <si>
    <t xml:space="preserve"> $ Amount</t>
  </si>
  <si>
    <t>TOTAL REVENUE BFR TAXES</t>
  </si>
  <si>
    <t>Cents/kWh</t>
  </si>
  <si>
    <t>Bundled Service Market</t>
  </si>
  <si>
    <t>LRS</t>
  </si>
  <si>
    <t>Admin</t>
  </si>
  <si>
    <t>RtR Direct Delivery</t>
  </si>
  <si>
    <t>Refund for Excess Spill</t>
  </si>
  <si>
    <t>Spill Credit</t>
  </si>
  <si>
    <t>Demand</t>
  </si>
  <si>
    <t>Total Revenue</t>
  </si>
  <si>
    <t>$ Amount</t>
  </si>
  <si>
    <t>RENEWABLE TO RETAIL MARKET</t>
  </si>
  <si>
    <t>CUSTOMERS (Syst. Total)</t>
  </si>
  <si>
    <t>Wind Farm #2 NRIS-connected</t>
  </si>
  <si>
    <t>Wind Farm #3</t>
  </si>
  <si>
    <t>FIRM.</t>
  </si>
  <si>
    <t>Kw DEMAND</t>
  </si>
  <si>
    <t>under rate code 121</t>
  </si>
  <si>
    <t>TOTAL (DISTRIBUTION LOAD, excludes transmission connected customer)</t>
  </si>
  <si>
    <t>ASSUMPTIONS</t>
  </si>
  <si>
    <t>(2) Predicated on the current base cost rates with the FAM riders excluded.</t>
  </si>
  <si>
    <t xml:space="preserve">(1)  Assume the consumption characteristics of migrating bundled service customers to the RtR market will stay the same. </t>
  </si>
  <si>
    <t>Forecasting Generation Service under Sched. 4A</t>
  </si>
  <si>
    <t>OATT (Network Integration Service)</t>
  </si>
  <si>
    <t xml:space="preserve"> Generation Forecasting Service under Sched. 4A</t>
  </si>
  <si>
    <t>(3) All metered coincident demands are converted into transmission demands by using monthly distribution demand line losses by rate class from the most recent cost of service study.  Distribution demand line losses of Large Industrial customers are assumed to be the same as those of Medium Industrial Customers.</t>
  </si>
  <si>
    <t>(2) Capacity Credits reflect the most recent assumptions used in generation planning as provided in the 2014 IRP report: 17% for NRIS and 0% for ERIS.</t>
  </si>
  <si>
    <t>(2) Coincident demands of LRS will be metered directly through application of hourly meters on RtR customer premises before conversion to demand requirement at a transmission level.  For the purposes of this illustration these demands have been simulated.</t>
  </si>
  <si>
    <t>SOURCE:  2014 COS submitted in compliance filing of July 31, 2014 in the COS Generic Proceeding</t>
  </si>
  <si>
    <t>ANNUAL EXCESS SPILL REFUND TO THE COMPANY</t>
  </si>
  <si>
    <t xml:space="preserve">(2) All metered energies are converted to energy requirements at transmission level using monthly distribution demand energy losses by rate class from the most recent cost of service study.  </t>
  </si>
  <si>
    <t xml:space="preserve">     Ordinarily this information will be available directly from hourly metering.</t>
  </si>
  <si>
    <t xml:space="preserve">      Distribution energy line losses of Large Industrial customers are assumed to be the same as those of Medium Industrial Customers.</t>
  </si>
  <si>
    <t>Source:  consumption simulations for illustrative purposes only.</t>
  </si>
  <si>
    <t>Total RtR Generation at transmission delivery point</t>
  </si>
  <si>
    <t>NON-COINCIDENT DEMAND OF LRS (kW)</t>
  </si>
  <si>
    <t>LARGE INDUSTRIAL FIRM (Transmission)</t>
  </si>
  <si>
    <t>LRS ENERGY AT TRANSMISSION LEVEL LRS (kWh)</t>
  </si>
  <si>
    <t>RtR MARKET GENERATION (MWs &amp; MWh)</t>
  </si>
  <si>
    <t>Output (MWh)</t>
  </si>
  <si>
    <t>At transmission level</t>
  </si>
  <si>
    <t>LRS USAGE OF EBS (MWh)</t>
  </si>
  <si>
    <t>MWh</t>
  </si>
  <si>
    <t xml:space="preserve">(3) Capacity generation factors of the RtR generation facilities as well as breakdown of their output between direct deliveries and spill energy have been assumed for the illustrative purposes.  </t>
  </si>
  <si>
    <t>RtR Customer Firm Coincident Demand (kW)</t>
  </si>
  <si>
    <t>Contributed Capacity (kW)</t>
  </si>
  <si>
    <t>Billed Standby Contract Demand (kW)</t>
  </si>
  <si>
    <t>RTR CUSTOMER COINCIDENT DEMANDS AT TRANSMISSION LEVEL LRS (kW)</t>
  </si>
  <si>
    <t>Discounted for Planning Reserve Factor</t>
  </si>
  <si>
    <t>Load (MWh)</t>
  </si>
  <si>
    <t>Spill (MWh)</t>
  </si>
  <si>
    <t>Coincident Firm Demand kW</t>
  </si>
  <si>
    <t>Assume all UNM customers take only one light:</t>
  </si>
  <si>
    <t>kVA</t>
  </si>
  <si>
    <t>(1)The numbers of migrating customers to the RtR market and their monthly billing characteristics are for illustrative purposes only.  They do not reflect cost saving incentives or other non-tangible benefits.</t>
  </si>
  <si>
    <t>MW</t>
  </si>
  <si>
    <t>REQUIREMENTS (MWh)</t>
  </si>
  <si>
    <t>SALES (MWh)</t>
  </si>
  <si>
    <t>SYSTEM COINCIDENT PEAKS (KW)</t>
  </si>
  <si>
    <t>SYSTEM COINCIDENT DEMANDS (KW)</t>
  </si>
  <si>
    <t>NON-COINCIDENT DEMANDS (KW)</t>
  </si>
  <si>
    <t xml:space="preserve">(4) Monthly spill and top-up energies have been made up based on Company's notion of its own hourly generation and system load profiles.  </t>
  </si>
  <si>
    <t xml:space="preserve">      They are not supported by explicit hourly load and generation curves in this example.  Actual settlement numbers will be derived from hourly metered records.</t>
  </si>
  <si>
    <t>(1) All LRSs will take Network Integration OATT Service.</t>
  </si>
  <si>
    <t xml:space="preserve">(2) Non-coincident demands of LRS will be metered directly through application of hourly meters on RtR customer premises before conversion to demand requirement at a transmission level.  </t>
  </si>
  <si>
    <t xml:space="preserve">(3) All metered demands are converted into transmission demands by using monthly distribution demand line losses by rate class from the most recent cost of service study.  </t>
  </si>
  <si>
    <t xml:space="preserve">      Distribution demand line losses of Large Industrial customers are assumed to be the same as those of Medium Industrial Customers.</t>
  </si>
  <si>
    <t>Wind Farm #3 NRIS-connected</t>
  </si>
  <si>
    <t>(4) Charges for inaccurate  Generation Forecasting Services are provided on purely illustrative basis - assumed LRS would be 10% of the time outside of the tolerance band of +/- 10%.</t>
  </si>
  <si>
    <t>Forgone Demand-related Revenue</t>
  </si>
  <si>
    <t>Forgone Energy-related Revenue</t>
  </si>
  <si>
    <t>EMBEDDED COST RECOVERY under RTT</t>
  </si>
  <si>
    <t xml:space="preserve">Energy-related </t>
  </si>
  <si>
    <t>RtR Transition Tariff</t>
  </si>
  <si>
    <t>Energy-related</t>
  </si>
  <si>
    <t>Demand-related</t>
  </si>
  <si>
    <t>equals</t>
  </si>
  <si>
    <t>c/kWh</t>
  </si>
  <si>
    <t>Energy-related Generation Fixed Costs</t>
  </si>
  <si>
    <t>based on avoided cost minus average fuel cost</t>
  </si>
  <si>
    <t>$/kW-mth</t>
  </si>
  <si>
    <t>Demand-related Generation Fixed Costs</t>
  </si>
  <si>
    <t>Displaced Demand (MW)</t>
  </si>
  <si>
    <t>Fixed Cost Adder from Energy Balancing Service</t>
  </si>
  <si>
    <t>Annually Adjusted Energy Savings Credit</t>
  </si>
  <si>
    <t>Annual Energy Cost Adjustment</t>
  </si>
  <si>
    <t>Demand Charge from Standby Service Tariff</t>
  </si>
  <si>
    <t>Annually Adjusted Demand Savings Credit</t>
  </si>
  <si>
    <t>RTT Energy Charge</t>
  </si>
  <si>
    <t>RTT Demand Charge</t>
  </si>
  <si>
    <t>proposed to be determined through annual review</t>
  </si>
  <si>
    <t xml:space="preserve"> proposed to be determined through annual review</t>
  </si>
  <si>
    <t>Displaced Energy (MWh)</t>
  </si>
  <si>
    <t>Displaced capacity (kW)</t>
  </si>
  <si>
    <t>Non-coincident Demand of LRS (MW) adj. for T losses</t>
  </si>
  <si>
    <t>$/MWhx</t>
  </si>
  <si>
    <t>SYSTEM COINCIDENT DEMAND FACTORS (%)</t>
  </si>
  <si>
    <t xml:space="preserve">      For the purposes of this illustration these demands were assumed to align with a weighted average customer load factor in each class - load factor that yields annual bill unit revenue the same as class average.</t>
  </si>
  <si>
    <t>(1) Assume three RtR generation facilities.  #3 wind farm comes on stream in the month of July. Wind farm #2 is shut down partway in the months of May and July and in the whole month of June.</t>
  </si>
  <si>
    <t>June</t>
  </si>
  <si>
    <t>July</t>
  </si>
  <si>
    <t>121 HPS Full Charge</t>
  </si>
  <si>
    <t>AVE. KWh USE PER CUSTOMER AT THE METER</t>
  </si>
  <si>
    <t>AVE. KW COINCIDENT DEMAND PER CUSTOMER AT THE METER</t>
  </si>
  <si>
    <t>AVE. NON-COINCIDENT DEMAND PER CUSTOMER AT THE METER</t>
  </si>
  <si>
    <t>TOTAL COINCIDENT DEMAND AT THE METER BY DEPARTED CUSTOMERS</t>
  </si>
  <si>
    <t>TOTAL NON-COINCIDENT DEMAND at THE METER BY DEPARTED CUSTOMERS</t>
  </si>
  <si>
    <t>NON-COINCIDENT DEMAND LOAD FACTORS OF AVE. CUSTOMER</t>
  </si>
  <si>
    <t>COINCIDENT DEMAND LOAD FACTOR OF AVE. CUSTOMER</t>
  </si>
  <si>
    <t>Demand-Related</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</si>
</sst>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 numFmtId="174" formatCode="#,##0.000_);\(#,##0.000\)"/>
    <numFmt numFmtId="175" formatCode="\ \ @\ \ "/>
    <numFmt numFmtId="176" formatCode="_(#,##0.0&quot;%&quot;_);\(#,##0.0&quot;%&quot;\);_(0.0&quot;%&quot;_)"/>
    <numFmt numFmtId="177" formatCode="&quot;$&quot;#,##0_);&quot;$&quot;\(#,##0\);&quot;$&quot;0_);@"/>
    <numFmt numFmtId="178" formatCode="&quot;$&quot;#,##0.00_);&quot;$&quot;\(#,##0.00\);&quot;$&quot;0.00_);@"/>
    <numFmt numFmtId="179" formatCode="0.0;\(0.0\);0.0"/>
    <numFmt numFmtId="180" formatCode="##0.00"/>
    <numFmt numFmtId="181" formatCode="#,##0.0&quot;%&quot;_);\(#,##0.0&quot;%&quot;\);0.0&quot;%&quot;_)"/>
    <numFmt numFmtId="182" formatCode="_(#,##0.00\ \x_);\(#,##0.00\ \x\);0.00\ \x_)"/>
    <numFmt numFmtId="183" formatCode="0.0000000000"/>
    <numFmt numFmtId="184" formatCode="_(#,##0%_);\(#,##0%\);_(0%_)"/>
    <numFmt numFmtId="185" formatCode="_(#,##0.00%_);\(#,##0.00%\);_(0.00%_)"/>
    <numFmt numFmtId="186" formatCode="_(#,##0.0%_);\(#,##0.0%\);_(0.0%_)"/>
    <numFmt numFmtId="187" formatCode="#,##0.0%_);\(#,##0.0%\);0.0%_)"/>
    <numFmt numFmtId="188" formatCode="#,##0_);\(#,##0\);0_)"/>
    <numFmt numFmtId="189" formatCode="#,##0.0_);\(#,##0.0\);0.0_)"/>
    <numFmt numFmtId="190" formatCode="#,##0.00_);\(#,##0.00\);0.00_)"/>
    <numFmt numFmtId="191" formatCode="#,##0.000_);\(#,##0.000\);0.000_)"/>
    <numFmt numFmtId="192" formatCode="#,##0.0000_);\(#,##0.0000\);0.0000_)"/>
    <numFmt numFmtId="193" formatCode="#,##0_);\(#,##0\);0_);@"/>
    <numFmt numFmtId="194" formatCode="* _(#,##0.0_);* \(#,##0.0\);* _(0.0_);* @_)"/>
    <numFmt numFmtId="195" formatCode="_(* #,##0_);_(* \(#,##0\);_(* &quot;-&quot;??_);_(@_)"/>
    <numFmt numFmtId="196" formatCode="_(* #,##0.0_);_(* \(#,##0.0\);_(* &quot;-&quot;??_);_(@_)"/>
    <numFmt numFmtId="197" formatCode="_(* #,##0.000_);_(* \(#,##0.000\);_(* &quot;-&quot;??_);_(@_)"/>
    <numFmt numFmtId="198" formatCode="&quot;$&quot;#,##0.000;[Red]\-&quot;$&quot;#,##0.000"/>
    <numFmt numFmtId="199" formatCode="_-* #,##0_-;\-* #,##0_-;_-* &quot;-&quot;??_-;_-@_-"/>
    <numFmt numFmtId="200" formatCode="_-* #,##0.000_-;\-* #,##0.000_-;_-* &quot;-&quot;???_-;_-@_-"/>
    <numFmt numFmtId="201" formatCode="_(* #,##0.0000_);_(* \(#,##0.0000\);_(* &quot;-&quot;??_);_(@_)"/>
    <numFmt numFmtId="202" formatCode="_-* #,##0.0_-;\-* #,##0.0_-;_-* &quot;-&quot;?_-;_-@_-"/>
    <numFmt numFmtId="203" formatCode="_-* #,##0.0_-;\-* #,##0.0_-;_-* &quot;-&quot;??_-;_-@_-"/>
    <numFmt numFmtId="204" formatCode="0.000"/>
    <numFmt numFmtId="205" formatCode="0.0"/>
    <numFmt numFmtId="206" formatCode="0.00000"/>
    <numFmt numFmtId="207" formatCode="0.0000"/>
    <numFmt numFmtId="208" formatCode="_(* #,##0.00000_);_(* \(#,##0.00000\);_(* &quot;-&quot;??_);_(@_)"/>
    <numFmt numFmtId="209" formatCode="&quot;$&quot;#,##0.0;[Red]\-&quot;$&quot;#,##0.0"/>
    <numFmt numFmtId="210" formatCode="0.0000000"/>
  </numFmts>
  <fonts count="74">
    <font>
      <sz val="12"/>
      <name val="Arial MT"/>
      <family val="0"/>
    </font>
    <font>
      <b/>
      <sz val="10"/>
      <name val="Arial"/>
      <family val="0"/>
    </font>
    <font>
      <i/>
      <sz val="10"/>
      <name val="Arial"/>
      <family val="0"/>
    </font>
    <font>
      <b/>
      <i/>
      <sz val="10"/>
      <name val="Arial"/>
      <family val="0"/>
    </font>
    <font>
      <sz val="10"/>
      <name val="Arial"/>
      <family val="2"/>
    </font>
    <font>
      <b/>
      <sz val="12"/>
      <name val="Arial"/>
      <family val="2"/>
    </font>
    <font>
      <u val="single"/>
      <sz val="10.45"/>
      <color indexed="36"/>
      <name val="Arial MT"/>
      <family val="0"/>
    </font>
    <font>
      <u val="single"/>
      <sz val="10.45"/>
      <color indexed="12"/>
      <name val="Arial MT"/>
      <family val="0"/>
    </font>
    <font>
      <u val="single"/>
      <sz val="10"/>
      <name val="Arial"/>
      <family val="2"/>
    </font>
    <font>
      <sz val="8"/>
      <name val="Arial"/>
      <family val="2"/>
    </font>
    <font>
      <sz val="9"/>
      <name val="Times New Roman"/>
      <family val="1"/>
    </font>
    <font>
      <sz val="10"/>
      <name val="Times New Roman"/>
      <family val="1"/>
    </font>
    <font>
      <b/>
      <i/>
      <sz val="12"/>
      <color indexed="39"/>
      <name val="Arial"/>
      <family val="2"/>
    </font>
    <font>
      <sz val="10"/>
      <color indexed="17"/>
      <name val="Arial"/>
      <family val="2"/>
    </font>
    <font>
      <b/>
      <sz val="9"/>
      <name val="Times New Roman"/>
      <family val="1"/>
    </font>
    <font>
      <b/>
      <sz val="10"/>
      <color indexed="17"/>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u val="doubleAccounting"/>
      <sz val="9"/>
      <name val="Times New Roman"/>
      <family val="1"/>
    </font>
    <font>
      <u val="singleAccounting"/>
      <sz val="9"/>
      <name val="Times New Roman"/>
      <family val="1"/>
    </font>
    <font>
      <sz val="10"/>
      <name val="MS Sans Serif"/>
      <family val="2"/>
    </font>
    <font>
      <u val="singleAccounting"/>
      <sz val="12"/>
      <name val="Arial MT"/>
      <family val="0"/>
    </font>
    <font>
      <b/>
      <sz val="12"/>
      <name val="Arial MT"/>
      <family val="0"/>
    </font>
    <font>
      <u val="single"/>
      <sz val="12"/>
      <name val="Arial MT"/>
      <family val="0"/>
    </font>
    <font>
      <b/>
      <sz val="14"/>
      <name val="Arial MT"/>
      <family val="0"/>
    </font>
    <font>
      <sz val="18"/>
      <name val="Arial MT"/>
      <family val="0"/>
    </font>
    <font>
      <b/>
      <sz val="16"/>
      <name val="Arial MT"/>
      <family val="0"/>
    </font>
    <font>
      <sz val="9"/>
      <name val="Tahoma"/>
      <family val="2"/>
    </font>
    <font>
      <b/>
      <sz val="9"/>
      <name val="Tahoma"/>
      <family val="2"/>
    </font>
    <font>
      <sz val="16"/>
      <name val="Arial MT"/>
      <family val="0"/>
    </font>
    <font>
      <b/>
      <sz val="18"/>
      <name val="Arial MT"/>
      <family val="0"/>
    </font>
    <font>
      <sz val="11"/>
      <name val="Times New Roman"/>
      <family val="1"/>
    </font>
    <font>
      <sz val="14"/>
      <name val="Arial MT"/>
      <family val="0"/>
    </font>
    <font>
      <sz val="12"/>
      <name val="Times New Roman"/>
      <family val="1"/>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indexed="13"/>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medium"/>
      <top>
        <color indexed="63"/>
      </top>
      <bottom>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style="medium"/>
      <bottom>
        <color indexed="63"/>
      </bottom>
    </border>
    <border>
      <left>
        <color indexed="63"/>
      </left>
      <right>
        <color indexed="63"/>
      </right>
      <top style="thin"/>
      <bottom style="double"/>
    </border>
    <border>
      <left>
        <color indexed="63"/>
      </left>
      <right>
        <color indexed="63"/>
      </right>
      <top>
        <color indexed="63"/>
      </top>
      <bottom style="double">
        <color rgb="FFFF8001"/>
      </bottom>
    </border>
    <border>
      <left>
        <color indexed="63"/>
      </left>
      <right>
        <color indexed="63"/>
      </right>
      <top style="dotted"/>
      <bottom style="dotted"/>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color indexed="9"/>
      </left>
      <right>
        <color indexed="63"/>
      </right>
      <top style="thin">
        <color indexed="9"/>
      </top>
      <bottom style="thin">
        <color indexed="23"/>
      </bottom>
    </border>
    <border>
      <left style="thin">
        <color indexed="23"/>
      </left>
      <right style="dashed">
        <color indexed="9"/>
      </right>
      <top>
        <color indexed="63"/>
      </top>
      <bottom style="dashed">
        <color indexed="9"/>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155">
    <xf numFmtId="3" fontId="0" fillId="0" borderId="0">
      <alignment/>
      <protection/>
    </xf>
    <xf numFmtId="3" fontId="1" fillId="0" borderId="0" applyNumberFormat="0" applyFill="0" applyBorder="0" applyAlignment="0" applyProtection="0"/>
    <xf numFmtId="3" fontId="1" fillId="0" borderId="0" applyNumberFormat="0" applyFill="0" applyBorder="0" applyAlignment="0" applyProtection="0"/>
    <xf numFmtId="3" fontId="2" fillId="0" borderId="0" applyNumberFormat="0" applyFill="0" applyBorder="0" applyAlignment="0" applyProtection="0"/>
    <xf numFmtId="3" fontId="2"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175" fontId="8" fillId="26" borderId="0" applyNumberFormat="0" applyFill="0" applyBorder="0" applyAlignment="0" applyProtection="0"/>
    <xf numFmtId="0" fontId="9" fillId="0" borderId="0" applyNumberFormat="0" applyAlignment="0">
      <protection/>
    </xf>
    <xf numFmtId="0" fontId="57" fillId="27" borderId="0" applyNumberFormat="0" applyBorder="0" applyAlignment="0" applyProtection="0"/>
    <xf numFmtId="0" fontId="58" fillId="28" borderId="1" applyNumberFormat="0" applyAlignment="0" applyProtection="0"/>
    <xf numFmtId="0" fontId="59" fillId="29" borderId="2" applyNumberFormat="0" applyAlignment="0" applyProtection="0"/>
    <xf numFmtId="171" fontId="4" fillId="0" borderId="0" applyFont="0" applyFill="0" applyBorder="0" applyAlignment="0" applyProtection="0"/>
    <xf numFmtId="169" fontId="4" fillId="0" borderId="0" applyFont="0" applyFill="0" applyBorder="0" applyAlignment="0" applyProtection="0"/>
    <xf numFmtId="171" fontId="4" fillId="0" borderId="0" applyFont="0" applyFill="0" applyBorder="0" applyAlignment="0" applyProtection="0"/>
    <xf numFmtId="43" fontId="4" fillId="0" borderId="0" applyFont="0" applyFill="0" applyBorder="0" applyAlignment="0" applyProtection="0"/>
    <xf numFmtId="171" fontId="60" fillId="0" borderId="0" applyFont="0" applyFill="0" applyBorder="0" applyAlignment="0" applyProtection="0"/>
    <xf numFmtId="170" fontId="4" fillId="0" borderId="0" applyFont="0" applyFill="0" applyBorder="0" applyAlignment="0" applyProtection="0"/>
    <xf numFmtId="168" fontId="4" fillId="0" borderId="0" applyFont="0" applyFill="0" applyBorder="0" applyAlignment="0" applyProtection="0"/>
    <xf numFmtId="170" fontId="60" fillId="0" borderId="0" applyFont="0" applyFill="0" applyBorder="0" applyAlignment="0" applyProtection="0"/>
    <xf numFmtId="44" fontId="4" fillId="0" borderId="0" applyFont="0" applyFill="0" applyBorder="0" applyAlignment="0" applyProtection="0"/>
    <xf numFmtId="176" fontId="10" fillId="30" borderId="0" applyFill="0" applyBorder="0" applyAlignment="0" applyProtection="0"/>
    <xf numFmtId="177" fontId="10" fillId="0" borderId="0" applyFill="0" applyBorder="0" applyAlignment="0" applyProtection="0"/>
    <xf numFmtId="177" fontId="10" fillId="0" borderId="0" applyFill="0" applyBorder="0" applyAlignment="0">
      <protection/>
    </xf>
    <xf numFmtId="178" fontId="10" fillId="0" borderId="0" applyFill="0" applyBorder="0" applyAlignment="0">
      <protection/>
    </xf>
    <xf numFmtId="179" fontId="10" fillId="0" borderId="0" applyFill="0" applyBorder="0" applyAlignment="0">
      <protection/>
    </xf>
    <xf numFmtId="173" fontId="11" fillId="0" borderId="3" applyFill="0" applyBorder="0" applyAlignment="0">
      <protection/>
    </xf>
    <xf numFmtId="0" fontId="61" fillId="0" borderId="0" applyNumberFormat="0" applyFill="0" applyBorder="0" applyAlignment="0" applyProtection="0"/>
    <xf numFmtId="0" fontId="6" fillId="0" borderId="0" applyNumberFormat="0" applyFill="0" applyBorder="0" applyAlignment="0" applyProtection="0"/>
    <xf numFmtId="0" fontId="62" fillId="31" borderId="0" applyNumberFormat="0" applyBorder="0" applyAlignment="0" applyProtection="0"/>
    <xf numFmtId="38" fontId="9" fillId="26" borderId="0" applyNumberFormat="0" applyBorder="0" applyAlignment="0" applyProtection="0"/>
    <xf numFmtId="0" fontId="12" fillId="26" borderId="0">
      <alignment/>
      <protection/>
    </xf>
    <xf numFmtId="0" fontId="5" fillId="0" borderId="4" applyNumberFormat="0" applyAlignment="0" applyProtection="0"/>
    <xf numFmtId="0" fontId="5" fillId="0" borderId="4" applyNumberFormat="0" applyAlignment="0" applyProtection="0"/>
    <xf numFmtId="0" fontId="5" fillId="0" borderId="4" applyNumberFormat="0" applyAlignment="0" applyProtection="0"/>
    <xf numFmtId="0" fontId="5" fillId="0" borderId="5">
      <alignment horizontal="left" vertical="center"/>
      <protection/>
    </xf>
    <xf numFmtId="0" fontId="5" fillId="0" borderId="5">
      <alignment horizontal="left" vertical="center"/>
      <protection/>
    </xf>
    <xf numFmtId="0" fontId="5" fillId="0" borderId="5">
      <alignment horizontal="left" vertical="center"/>
      <protection/>
    </xf>
    <xf numFmtId="0" fontId="63" fillId="0" borderId="6"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0" applyNumberFormat="0" applyFill="0" applyBorder="0" applyAlignment="0" applyProtection="0"/>
    <xf numFmtId="0" fontId="7" fillId="0" borderId="0" applyNumberFormat="0" applyFill="0" applyBorder="0" applyAlignment="0" applyProtection="0"/>
    <xf numFmtId="0" fontId="66" fillId="32" borderId="1" applyNumberFormat="0" applyAlignment="0" applyProtection="0"/>
    <xf numFmtId="10" fontId="9" fillId="30" borderId="9" applyNumberFormat="0" applyBorder="0" applyAlignment="0" applyProtection="0"/>
    <xf numFmtId="180" fontId="13" fillId="0" borderId="10" applyBorder="0">
      <alignment/>
      <protection locked="0"/>
    </xf>
    <xf numFmtId="181" fontId="14" fillId="33" borderId="11" applyFont="0" applyBorder="0" applyAlignment="0">
      <protection/>
    </xf>
    <xf numFmtId="181" fontId="14" fillId="33" borderId="11" applyFill="0" applyAlignment="0">
      <protection/>
    </xf>
    <xf numFmtId="0" fontId="67" fillId="0" borderId="12" applyNumberFormat="0" applyFill="0" applyAlignment="0" applyProtection="0"/>
    <xf numFmtId="182" fontId="10" fillId="0" borderId="0" applyFill="0" applyBorder="0" applyAlignment="0">
      <protection/>
    </xf>
    <xf numFmtId="0" fontId="15" fillId="0" borderId="0">
      <alignment horizontal="right"/>
      <protection/>
    </xf>
    <xf numFmtId="0" fontId="68" fillId="34" borderId="0" applyNumberFormat="0" applyBorder="0" applyAlignment="0" applyProtection="0"/>
    <xf numFmtId="0" fontId="13" fillId="0" borderId="13" applyNumberFormat="0" applyAlignment="0">
      <protection/>
    </xf>
    <xf numFmtId="183" fontId="4" fillId="0" borderId="0">
      <alignment/>
      <protection/>
    </xf>
    <xf numFmtId="0" fontId="4" fillId="0" borderId="0">
      <alignment/>
      <protection/>
    </xf>
    <xf numFmtId="0" fontId="4" fillId="0" borderId="0">
      <alignment/>
      <protection/>
    </xf>
    <xf numFmtId="0" fontId="60" fillId="0" borderId="0">
      <alignment/>
      <protection/>
    </xf>
    <xf numFmtId="0" fontId="55" fillId="0" borderId="0">
      <alignment/>
      <protection/>
    </xf>
    <xf numFmtId="0" fontId="0" fillId="35" borderId="14" applyNumberFormat="0" applyFont="0" applyAlignment="0" applyProtection="0"/>
    <xf numFmtId="0" fontId="69" fillId="28" borderId="15" applyNumberFormat="0" applyAlignment="0" applyProtection="0"/>
    <xf numFmtId="40" fontId="16" fillId="36" borderId="0">
      <alignment horizontal="right"/>
      <protection/>
    </xf>
    <xf numFmtId="0" fontId="17" fillId="36" borderId="0">
      <alignment horizontal="right"/>
      <protection/>
    </xf>
    <xf numFmtId="0" fontId="18" fillId="36" borderId="16">
      <alignment/>
      <protection/>
    </xf>
    <xf numFmtId="0" fontId="18" fillId="0" borderId="0" applyBorder="0">
      <alignment horizontal="centerContinuous"/>
      <protection/>
    </xf>
    <xf numFmtId="0" fontId="19" fillId="0" borderId="0" applyBorder="0">
      <alignment horizontal="centerContinuous"/>
      <protection/>
    </xf>
    <xf numFmtId="9"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60" fillId="0" borderId="0" applyFont="0" applyFill="0" applyBorder="0" applyAlignment="0" applyProtection="0"/>
    <xf numFmtId="184" fontId="10" fillId="0" borderId="0" applyFill="0" applyBorder="0" applyAlignment="0">
      <protection/>
    </xf>
    <xf numFmtId="185" fontId="10" fillId="0" borderId="0" applyFill="0" applyBorder="0" applyAlignment="0">
      <protection/>
    </xf>
    <xf numFmtId="186" fontId="14" fillId="0" borderId="11">
      <alignment horizontal="right"/>
      <protection/>
    </xf>
    <xf numFmtId="186" fontId="14" fillId="0" borderId="11">
      <alignment horizontal="right"/>
      <protection/>
    </xf>
    <xf numFmtId="186" fontId="14" fillId="0" borderId="11">
      <alignment horizontal="right"/>
      <protection/>
    </xf>
    <xf numFmtId="187" fontId="14" fillId="33" borderId="11" applyFont="0" applyBorder="0" applyAlignment="0">
      <protection/>
    </xf>
    <xf numFmtId="187" fontId="14" fillId="33" borderId="11" applyFont="0" applyBorder="0" applyAlignment="0">
      <protection/>
    </xf>
    <xf numFmtId="187" fontId="14" fillId="33" borderId="11" applyFont="0" applyBorder="0" applyAlignment="0">
      <protection/>
    </xf>
    <xf numFmtId="187" fontId="14" fillId="0" borderId="11" applyFill="0" applyAlignment="0">
      <protection/>
    </xf>
    <xf numFmtId="187" fontId="14" fillId="0" borderId="0" applyFill="0" applyAlignment="0">
      <protection/>
    </xf>
    <xf numFmtId="188" fontId="10" fillId="0" borderId="0" applyFill="0" applyBorder="0" applyAlignment="0">
      <protection/>
    </xf>
    <xf numFmtId="189" fontId="10" fillId="0" borderId="0" applyFill="0" applyBorder="0" applyAlignment="0">
      <protection/>
    </xf>
    <xf numFmtId="190" fontId="10" fillId="0" borderId="0" applyFill="0" applyBorder="0" applyAlignment="0">
      <protection/>
    </xf>
    <xf numFmtId="191" fontId="10" fillId="0" borderId="0" applyFill="0" applyBorder="0" applyAlignment="0">
      <protection/>
    </xf>
    <xf numFmtId="192" fontId="10" fillId="0" borderId="0" applyFill="0" applyBorder="0" applyAlignment="0">
      <protection/>
    </xf>
    <xf numFmtId="193" fontId="10" fillId="0" borderId="0" applyBorder="0" applyAlignment="0">
      <protection/>
    </xf>
    <xf numFmtId="188" fontId="14" fillId="0" borderId="11" applyFill="0" applyAlignment="0">
      <protection/>
    </xf>
    <xf numFmtId="188" fontId="14" fillId="0" borderId="11" applyFill="0" applyAlignment="0">
      <protection/>
    </xf>
    <xf numFmtId="188" fontId="14" fillId="0" borderId="11" applyFill="0" applyAlignment="0">
      <protection/>
    </xf>
    <xf numFmtId="37" fontId="14" fillId="0" borderId="0" applyFill="0" applyAlignment="0">
      <protection/>
    </xf>
    <xf numFmtId="37" fontId="14" fillId="0" borderId="0" applyFill="0" applyAlignment="0">
      <protection/>
    </xf>
    <xf numFmtId="37" fontId="14" fillId="0" borderId="0" applyFill="0" applyAlignment="0">
      <protection/>
    </xf>
    <xf numFmtId="194" fontId="20" fillId="0" borderId="0" applyNumberFormat="0" applyFill="0" applyBorder="0" applyAlignment="0">
      <protection/>
    </xf>
    <xf numFmtId="193" fontId="10" fillId="37" borderId="0" applyFont="0" applyBorder="0" applyAlignment="0">
      <protection/>
    </xf>
    <xf numFmtId="188" fontId="14" fillId="0" borderId="11" applyFill="0" applyBorder="0" applyAlignment="0">
      <protection locked="0"/>
    </xf>
    <xf numFmtId="0" fontId="21" fillId="0" borderId="0" applyFill="0" applyBorder="0">
      <alignment horizontal="right"/>
      <protection/>
    </xf>
    <xf numFmtId="176" fontId="10" fillId="30" borderId="0" applyFill="0" applyBorder="0" applyAlignment="0">
      <protection/>
    </xf>
    <xf numFmtId="0" fontId="22" fillId="0" borderId="0" applyNumberFormat="0" applyFont="0" applyFill="0" applyBorder="0" applyAlignment="0" applyProtection="0"/>
    <xf numFmtId="172" fontId="11" fillId="0" borderId="0">
      <alignment/>
      <protection locked="0"/>
    </xf>
    <xf numFmtId="3" fontId="4" fillId="26" borderId="17" applyFont="0" applyFill="0" applyBorder="0" applyAlignment="0" applyProtection="0"/>
    <xf numFmtId="3" fontId="4" fillId="26" borderId="17" applyFont="0" applyFill="0" applyBorder="0" applyAlignment="0" applyProtection="0"/>
    <xf numFmtId="3" fontId="4" fillId="26" borderId="17" applyFont="0" applyFill="0" applyBorder="0" applyAlignment="0" applyProtection="0"/>
    <xf numFmtId="39" fontId="4" fillId="26" borderId="17" applyFont="0" applyFill="0" applyBorder="0" applyAlignment="0" applyProtection="0"/>
    <xf numFmtId="39" fontId="4" fillId="26" borderId="17" applyFont="0" applyFill="0" applyBorder="0" applyAlignment="0" applyProtection="0"/>
    <xf numFmtId="39" fontId="4" fillId="26" borderId="17" applyFont="0" applyFill="0" applyBorder="0" applyAlignment="0" applyProtection="0"/>
    <xf numFmtId="174" fontId="4" fillId="26" borderId="17" applyFont="0" applyFill="0" applyBorder="0" applyAlignment="0" applyProtection="0"/>
    <xf numFmtId="174" fontId="4" fillId="26" borderId="17" applyFont="0" applyFill="0" applyBorder="0" applyAlignment="0" applyProtection="0"/>
    <xf numFmtId="174" fontId="4" fillId="26" borderId="17" applyFont="0" applyFill="0" applyBorder="0" applyAlignment="0" applyProtection="0"/>
    <xf numFmtId="37" fontId="4" fillId="26" borderId="18" applyFont="0" applyFill="0" applyBorder="0" applyAlignment="0" applyProtection="0"/>
    <xf numFmtId="37" fontId="4" fillId="26" borderId="18" applyFont="0" applyFill="0" applyBorder="0" applyAlignment="0" applyProtection="0"/>
    <xf numFmtId="37" fontId="4" fillId="26" borderId="18" applyFont="0" applyFill="0" applyBorder="0" applyAlignment="0" applyProtection="0"/>
    <xf numFmtId="10" fontId="4" fillId="26" borderId="17" applyFont="0" applyFill="0" applyBorder="0" applyAlignment="0" applyProtection="0"/>
    <xf numFmtId="10" fontId="4" fillId="26" borderId="17" applyFont="0" applyFill="0" applyBorder="0" applyAlignment="0" applyProtection="0"/>
    <xf numFmtId="10" fontId="4" fillId="26" borderId="17" applyFont="0" applyFill="0" applyBorder="0" applyAlignment="0" applyProtection="0"/>
    <xf numFmtId="9" fontId="4" fillId="26" borderId="17" applyFont="0" applyFill="0" applyBorder="0" applyAlignment="0" applyProtection="0"/>
    <xf numFmtId="9" fontId="4" fillId="26" borderId="17" applyFont="0" applyFill="0" applyBorder="0" applyAlignment="0" applyProtection="0"/>
    <xf numFmtId="9" fontId="4" fillId="26" borderId="17" applyFont="0" applyFill="0" applyBorder="0" applyAlignment="0" applyProtection="0"/>
    <xf numFmtId="2" fontId="4" fillId="26" borderId="17" applyFont="0" applyFill="0" applyBorder="0" applyAlignment="0" applyProtection="0"/>
    <xf numFmtId="2" fontId="4" fillId="26" borderId="17" applyFont="0" applyFill="0" applyBorder="0" applyAlignment="0" applyProtection="0"/>
    <xf numFmtId="2" fontId="4" fillId="26" borderId="17" applyFont="0" applyFill="0" applyBorder="0" applyAlignment="0" applyProtection="0"/>
    <xf numFmtId="49" fontId="10" fillId="0" borderId="0" applyFill="0" applyBorder="0" applyAlignment="0">
      <protection/>
    </xf>
    <xf numFmtId="0" fontId="70" fillId="0" borderId="0" applyNumberFormat="0" applyFill="0" applyBorder="0" applyAlignment="0" applyProtection="0"/>
    <xf numFmtId="0" fontId="71" fillId="0" borderId="19" applyNumberFormat="0" applyFill="0" applyAlignment="0" applyProtection="0"/>
    <xf numFmtId="0" fontId="72" fillId="0" borderId="0" applyNumberFormat="0" applyFill="0" applyBorder="0" applyAlignment="0" applyProtection="0"/>
  </cellStyleXfs>
  <cellXfs count="317">
    <xf numFmtId="0" fontId="0" fillId="0" borderId="0" xfId="0" applyNumberFormat="1" applyFont="1" applyAlignment="1" applyProtection="1">
      <alignment/>
      <protection locked="0"/>
    </xf>
    <xf numFmtId="196" fontId="0" fillId="0" borderId="0" xfId="44" applyNumberFormat="1" applyFont="1" applyAlignment="1" applyProtection="1">
      <alignment/>
      <protection locked="0"/>
    </xf>
    <xf numFmtId="195" fontId="0" fillId="0" borderId="0" xfId="44" applyNumberFormat="1" applyFont="1" applyAlignment="1" applyProtection="1">
      <alignment/>
      <protection locked="0"/>
    </xf>
    <xf numFmtId="0" fontId="0" fillId="0" borderId="0" xfId="0" applyNumberFormat="1" applyFont="1" applyAlignment="1" applyProtection="1">
      <alignment wrapText="1"/>
      <protection locked="0"/>
    </xf>
    <xf numFmtId="195" fontId="0" fillId="0" borderId="0" xfId="0" applyNumberFormat="1" applyFont="1" applyAlignment="1" applyProtection="1">
      <alignment/>
      <protection locked="0"/>
    </xf>
    <xf numFmtId="195" fontId="23" fillId="0" borderId="0" xfId="44" applyNumberFormat="1" applyFont="1" applyAlignment="1" applyProtection="1">
      <alignment/>
      <protection locked="0"/>
    </xf>
    <xf numFmtId="0" fontId="24" fillId="0" borderId="0" xfId="0" applyNumberFormat="1" applyFont="1" applyAlignment="1" applyProtection="1">
      <alignment/>
      <protection locked="0"/>
    </xf>
    <xf numFmtId="195" fontId="24" fillId="0" borderId="0" xfId="44" applyNumberFormat="1" applyFont="1" applyAlignment="1" applyProtection="1">
      <alignment/>
      <protection locked="0"/>
    </xf>
    <xf numFmtId="9" fontId="0" fillId="0" borderId="0" xfId="97" applyFont="1" applyAlignment="1" applyProtection="1">
      <alignment/>
      <protection locked="0"/>
    </xf>
    <xf numFmtId="173" fontId="0" fillId="0" borderId="0" xfId="97" applyNumberFormat="1" applyFont="1" applyAlignment="1" applyProtection="1">
      <alignment/>
      <protection locked="0"/>
    </xf>
    <xf numFmtId="196" fontId="23" fillId="0" borderId="0" xfId="44" applyNumberFormat="1" applyFont="1" applyAlignment="1" applyProtection="1">
      <alignment/>
      <protection locked="0"/>
    </xf>
    <xf numFmtId="9" fontId="25" fillId="0" borderId="0" xfId="97" applyFont="1" applyAlignment="1" applyProtection="1">
      <alignment/>
      <protection locked="0"/>
    </xf>
    <xf numFmtId="0" fontId="0" fillId="0" borderId="20" xfId="0" applyNumberFormat="1" applyFont="1" applyBorder="1" applyAlignment="1" applyProtection="1">
      <alignment/>
      <protection locked="0"/>
    </xf>
    <xf numFmtId="0" fontId="0" fillId="0" borderId="0" xfId="0" applyNumberFormat="1" applyFont="1" applyBorder="1" applyAlignment="1" applyProtection="1">
      <alignment/>
      <protection locked="0"/>
    </xf>
    <xf numFmtId="0" fontId="0" fillId="0" borderId="16" xfId="0" applyNumberFormat="1" applyFont="1" applyBorder="1" applyAlignment="1" applyProtection="1">
      <alignment/>
      <protection locked="0"/>
    </xf>
    <xf numFmtId="3" fontId="11" fillId="0" borderId="20" xfId="0" applyFont="1" applyFill="1" applyBorder="1" applyAlignment="1">
      <alignment horizontal="right"/>
    </xf>
    <xf numFmtId="8" fontId="0" fillId="0" borderId="16" xfId="0" applyNumberFormat="1" applyFont="1" applyBorder="1" applyAlignment="1" applyProtection="1">
      <alignment/>
      <protection locked="0"/>
    </xf>
    <xf numFmtId="198" fontId="0" fillId="0" borderId="16" xfId="0" applyNumberFormat="1" applyFont="1" applyBorder="1" applyAlignment="1" applyProtection="1">
      <alignment/>
      <protection locked="0"/>
    </xf>
    <xf numFmtId="195" fontId="0" fillId="0" borderId="0" xfId="44" applyNumberFormat="1" applyFont="1" applyBorder="1" applyAlignment="1" applyProtection="1">
      <alignment/>
      <protection locked="0"/>
    </xf>
    <xf numFmtId="6" fontId="0" fillId="0" borderId="16" xfId="0" applyNumberFormat="1" applyFont="1" applyBorder="1" applyAlignment="1" applyProtection="1">
      <alignment/>
      <protection locked="0"/>
    </xf>
    <xf numFmtId="195" fontId="23" fillId="0" borderId="0" xfId="44" applyNumberFormat="1" applyFont="1" applyBorder="1" applyAlignment="1" applyProtection="1">
      <alignment/>
      <protection locked="0"/>
    </xf>
    <xf numFmtId="6" fontId="25" fillId="0" borderId="16" xfId="0" applyNumberFormat="1" applyFont="1" applyBorder="1" applyAlignment="1" applyProtection="1">
      <alignment/>
      <protection locked="0"/>
    </xf>
    <xf numFmtId="195" fontId="0" fillId="0" borderId="0" xfId="0" applyNumberFormat="1" applyFont="1" applyBorder="1" applyAlignment="1" applyProtection="1">
      <alignment/>
      <protection locked="0"/>
    </xf>
    <xf numFmtId="171" fontId="0" fillId="0" borderId="16" xfId="44" applyFont="1" applyBorder="1" applyAlignment="1" applyProtection="1">
      <alignment/>
      <protection locked="0"/>
    </xf>
    <xf numFmtId="0" fontId="0" fillId="0" borderId="21" xfId="0" applyNumberFormat="1" applyFont="1" applyBorder="1" applyAlignment="1" applyProtection="1">
      <alignment/>
      <protection locked="0"/>
    </xf>
    <xf numFmtId="0" fontId="0" fillId="0" borderId="22" xfId="0" applyNumberFormat="1" applyFont="1" applyBorder="1" applyAlignment="1" applyProtection="1">
      <alignment/>
      <protection locked="0"/>
    </xf>
    <xf numFmtId="0" fontId="0" fillId="0" borderId="23" xfId="0" applyNumberFormat="1" applyFont="1" applyBorder="1" applyAlignment="1" applyProtection="1">
      <alignment/>
      <protection locked="0"/>
    </xf>
    <xf numFmtId="198" fontId="11" fillId="0" borderId="20" xfId="0" applyNumberFormat="1" applyFont="1" applyFill="1" applyBorder="1" applyAlignment="1">
      <alignment horizontal="right"/>
    </xf>
    <xf numFmtId="198" fontId="0" fillId="0" borderId="0" xfId="0" applyNumberFormat="1" applyFont="1" applyBorder="1" applyAlignment="1" applyProtection="1">
      <alignment/>
      <protection locked="0"/>
    </xf>
    <xf numFmtId="195" fontId="0" fillId="0" borderId="16" xfId="0" applyNumberFormat="1" applyFont="1" applyBorder="1" applyAlignment="1" applyProtection="1">
      <alignment/>
      <protection locked="0"/>
    </xf>
    <xf numFmtId="196" fontId="0" fillId="0" borderId="0" xfId="44" applyNumberFormat="1" applyFont="1" applyBorder="1" applyAlignment="1" applyProtection="1">
      <alignment/>
      <protection locked="0"/>
    </xf>
    <xf numFmtId="196" fontId="23" fillId="0" borderId="0" xfId="44" applyNumberFormat="1" applyFont="1" applyBorder="1" applyAlignment="1" applyProtection="1">
      <alignment/>
      <protection locked="0"/>
    </xf>
    <xf numFmtId="3" fontId="11" fillId="0" borderId="20" xfId="0" applyFont="1" applyFill="1" applyBorder="1" applyAlignment="1">
      <alignment horizontal="left"/>
    </xf>
    <xf numFmtId="197" fontId="0" fillId="0" borderId="16" xfId="44" applyNumberFormat="1" applyFont="1" applyBorder="1" applyAlignment="1" applyProtection="1">
      <alignment/>
      <protection locked="0"/>
    </xf>
    <xf numFmtId="197" fontId="11" fillId="0" borderId="20" xfId="44" applyNumberFormat="1" applyFont="1" applyFill="1" applyBorder="1" applyAlignment="1">
      <alignment horizontal="right"/>
    </xf>
    <xf numFmtId="197" fontId="0" fillId="0" borderId="0" xfId="44" applyNumberFormat="1" applyFont="1" applyBorder="1" applyAlignment="1" applyProtection="1">
      <alignment/>
      <protection locked="0"/>
    </xf>
    <xf numFmtId="197" fontId="0" fillId="0" borderId="20" xfId="44" applyNumberFormat="1" applyFont="1" applyBorder="1" applyAlignment="1" applyProtection="1">
      <alignment/>
      <protection locked="0"/>
    </xf>
    <xf numFmtId="8" fontId="0" fillId="0" borderId="0" xfId="0" applyNumberFormat="1" applyFont="1" applyAlignment="1" applyProtection="1">
      <alignment/>
      <protection locked="0"/>
    </xf>
    <xf numFmtId="171" fontId="0" fillId="0" borderId="0" xfId="44" applyFont="1" applyBorder="1" applyAlignment="1" applyProtection="1">
      <alignment/>
      <protection locked="0"/>
    </xf>
    <xf numFmtId="8" fontId="25" fillId="0" borderId="0" xfId="0" applyNumberFormat="1" applyFont="1" applyAlignment="1" applyProtection="1">
      <alignment/>
      <protection locked="0"/>
    </xf>
    <xf numFmtId="6" fontId="0" fillId="0" borderId="0" xfId="0" applyNumberFormat="1" applyFont="1" applyAlignment="1" applyProtection="1">
      <alignment/>
      <protection locked="0"/>
    </xf>
    <xf numFmtId="199" fontId="0" fillId="0" borderId="0" xfId="0" applyNumberFormat="1" applyFont="1" applyAlignment="1" applyProtection="1">
      <alignment/>
      <protection locked="0"/>
    </xf>
    <xf numFmtId="8" fontId="0" fillId="0" borderId="0" xfId="0" applyNumberFormat="1" applyFont="1" applyBorder="1" applyAlignment="1" applyProtection="1">
      <alignment/>
      <protection locked="0"/>
    </xf>
    <xf numFmtId="6" fontId="0" fillId="0" borderId="0" xfId="0" applyNumberFormat="1" applyFont="1" applyBorder="1" applyAlignment="1" applyProtection="1">
      <alignment/>
      <protection locked="0"/>
    </xf>
    <xf numFmtId="6" fontId="25" fillId="0" borderId="0" xfId="0" applyNumberFormat="1" applyFont="1" applyBorder="1" applyAlignment="1" applyProtection="1">
      <alignment/>
      <protection locked="0"/>
    </xf>
    <xf numFmtId="173" fontId="0" fillId="0" borderId="0" xfId="97" applyNumberFormat="1" applyFont="1" applyBorder="1" applyAlignment="1" applyProtection="1">
      <alignment/>
      <protection locked="0"/>
    </xf>
    <xf numFmtId="0" fontId="0" fillId="0" borderId="24" xfId="0" applyNumberFormat="1" applyFont="1" applyBorder="1" applyAlignment="1" applyProtection="1">
      <alignment/>
      <protection locked="0"/>
    </xf>
    <xf numFmtId="171" fontId="23" fillId="0" borderId="16" xfId="44" applyFont="1" applyBorder="1" applyAlignment="1" applyProtection="1">
      <alignment/>
      <protection locked="0"/>
    </xf>
    <xf numFmtId="0" fontId="26" fillId="0" borderId="0" xfId="0" applyNumberFormat="1" applyFont="1" applyAlignment="1" applyProtection="1">
      <alignment/>
      <protection locked="0"/>
    </xf>
    <xf numFmtId="0" fontId="28" fillId="0" borderId="0" xfId="0" applyNumberFormat="1" applyFont="1" applyAlignment="1" applyProtection="1">
      <alignment/>
      <protection locked="0"/>
    </xf>
    <xf numFmtId="199" fontId="0" fillId="0" borderId="0" xfId="0" applyNumberFormat="1" applyFont="1" applyBorder="1" applyAlignment="1" applyProtection="1">
      <alignment/>
      <protection locked="0"/>
    </xf>
    <xf numFmtId="0" fontId="25" fillId="0" borderId="20" xfId="0" applyNumberFormat="1" applyFont="1" applyBorder="1" applyAlignment="1" applyProtection="1">
      <alignment/>
      <protection locked="0"/>
    </xf>
    <xf numFmtId="199" fontId="23" fillId="0" borderId="0" xfId="0" applyNumberFormat="1" applyFont="1" applyBorder="1" applyAlignment="1" applyProtection="1">
      <alignment/>
      <protection locked="0"/>
    </xf>
    <xf numFmtId="0" fontId="0" fillId="0" borderId="0" xfId="0" applyNumberFormat="1" applyFont="1" applyBorder="1" applyAlignment="1" applyProtection="1">
      <alignment wrapText="1"/>
      <protection locked="0"/>
    </xf>
    <xf numFmtId="6" fontId="0" fillId="0" borderId="20" xfId="0" applyNumberFormat="1" applyFont="1" applyBorder="1" applyAlignment="1" applyProtection="1">
      <alignment/>
      <protection locked="0"/>
    </xf>
    <xf numFmtId="8" fontId="25" fillId="0" borderId="0" xfId="0" applyNumberFormat="1" applyFont="1" applyBorder="1" applyAlignment="1" applyProtection="1">
      <alignment/>
      <protection locked="0"/>
    </xf>
    <xf numFmtId="8" fontId="25" fillId="0" borderId="16" xfId="0" applyNumberFormat="1" applyFont="1" applyBorder="1" applyAlignment="1" applyProtection="1">
      <alignment/>
      <protection locked="0"/>
    </xf>
    <xf numFmtId="3" fontId="1" fillId="0" borderId="0" xfId="0" applyFont="1" applyBorder="1" applyAlignment="1">
      <alignment/>
    </xf>
    <xf numFmtId="3" fontId="4" fillId="0" borderId="0" xfId="0" applyFont="1" applyBorder="1" applyAlignment="1">
      <alignment/>
    </xf>
    <xf numFmtId="9" fontId="0" fillId="0" borderId="0" xfId="0" applyNumberFormat="1" applyBorder="1" applyAlignment="1">
      <alignment/>
    </xf>
    <xf numFmtId="197" fontId="0" fillId="0" borderId="0" xfId="44" applyNumberFormat="1" applyFont="1" applyBorder="1" applyAlignment="1">
      <alignment/>
    </xf>
    <xf numFmtId="3" fontId="4" fillId="0" borderId="0" xfId="0" applyFont="1" applyBorder="1" applyAlignment="1">
      <alignment wrapText="1"/>
    </xf>
    <xf numFmtId="173" fontId="0" fillId="0" borderId="0" xfId="0" applyNumberFormat="1" applyFont="1" applyAlignment="1" applyProtection="1">
      <alignment/>
      <protection locked="0"/>
    </xf>
    <xf numFmtId="9" fontId="0" fillId="0" borderId="0" xfId="97" applyFont="1" applyBorder="1" applyAlignment="1" applyProtection="1">
      <alignment/>
      <protection locked="0"/>
    </xf>
    <xf numFmtId="9" fontId="25" fillId="0" borderId="0" xfId="97" applyFont="1" applyBorder="1" applyAlignment="1" applyProtection="1">
      <alignment/>
      <protection locked="0"/>
    </xf>
    <xf numFmtId="0" fontId="0" fillId="0" borderId="20" xfId="0" applyNumberFormat="1" applyFont="1" applyBorder="1" applyAlignment="1" applyProtection="1">
      <alignment horizontal="center"/>
      <protection locked="0"/>
    </xf>
    <xf numFmtId="0" fontId="0" fillId="0" borderId="0" xfId="0" applyNumberFormat="1" applyFont="1" applyBorder="1" applyAlignment="1" applyProtection="1">
      <alignment horizontal="center"/>
      <protection locked="0"/>
    </xf>
    <xf numFmtId="0" fontId="0" fillId="0" borderId="0" xfId="0" applyNumberFormat="1" applyFont="1" applyBorder="1" applyAlignment="1" applyProtection="1">
      <alignment horizontal="center" wrapText="1"/>
      <protection locked="0"/>
    </xf>
    <xf numFmtId="0" fontId="0" fillId="0" borderId="16" xfId="0" applyNumberFormat="1" applyFont="1" applyBorder="1" applyAlignment="1" applyProtection="1">
      <alignment horizontal="center"/>
      <protection locked="0"/>
    </xf>
    <xf numFmtId="0" fontId="0" fillId="0" borderId="20" xfId="0" applyNumberFormat="1" applyFont="1" applyBorder="1" applyAlignment="1" applyProtection="1">
      <alignment horizontal="center" wrapText="1"/>
      <protection locked="0"/>
    </xf>
    <xf numFmtId="0" fontId="0" fillId="0" borderId="0" xfId="0" applyNumberFormat="1" applyFont="1" applyAlignment="1" applyProtection="1">
      <alignment horizontal="center"/>
      <protection locked="0"/>
    </xf>
    <xf numFmtId="0" fontId="24" fillId="0" borderId="0" xfId="0" applyNumberFormat="1" applyFont="1" applyAlignment="1" applyProtection="1">
      <alignment horizontal="center" wrapText="1"/>
      <protection locked="0"/>
    </xf>
    <xf numFmtId="43" fontId="0" fillId="0" borderId="0" xfId="0" applyNumberFormat="1" applyFont="1" applyAlignment="1" applyProtection="1">
      <alignment/>
      <protection locked="0"/>
    </xf>
    <xf numFmtId="171" fontId="0" fillId="0" borderId="0" xfId="44" applyFont="1" applyAlignment="1" applyProtection="1">
      <alignment/>
      <protection locked="0"/>
    </xf>
    <xf numFmtId="0" fontId="24" fillId="0" borderId="0" xfId="0" applyNumberFormat="1" applyFont="1" applyAlignment="1" applyProtection="1">
      <alignment horizontal="center"/>
      <protection locked="0"/>
    </xf>
    <xf numFmtId="3" fontId="5" fillId="0" borderId="0" xfId="0" applyFont="1" applyBorder="1" applyAlignment="1">
      <alignment horizontal="center" wrapText="1"/>
    </xf>
    <xf numFmtId="3" fontId="5" fillId="0" borderId="0" xfId="0" applyFont="1" applyBorder="1" applyAlignment="1">
      <alignment wrapText="1"/>
    </xf>
    <xf numFmtId="3" fontId="5" fillId="0" borderId="0" xfId="0" applyFont="1" applyBorder="1" applyAlignment="1">
      <alignment/>
    </xf>
    <xf numFmtId="6" fontId="25" fillId="0" borderId="0" xfId="0" applyNumberFormat="1" applyFont="1" applyAlignment="1" applyProtection="1">
      <alignment/>
      <protection locked="0"/>
    </xf>
    <xf numFmtId="0" fontId="0" fillId="0" borderId="0" xfId="0" applyNumberFormat="1" applyFont="1" applyAlignment="1" applyProtection="1">
      <alignment horizontal="right"/>
      <protection locked="0"/>
    </xf>
    <xf numFmtId="0" fontId="24" fillId="0" borderId="0" xfId="0" applyNumberFormat="1" applyFont="1" applyAlignment="1" applyProtection="1">
      <alignment horizontal="left"/>
      <protection locked="0"/>
    </xf>
    <xf numFmtId="0" fontId="26" fillId="0" borderId="25" xfId="0" applyNumberFormat="1" applyFont="1" applyBorder="1" applyAlignment="1" applyProtection="1">
      <alignment/>
      <protection locked="0"/>
    </xf>
    <xf numFmtId="0" fontId="0" fillId="0" borderId="26" xfId="0" applyNumberFormat="1" applyFont="1" applyBorder="1" applyAlignment="1" applyProtection="1">
      <alignment/>
      <protection locked="0"/>
    </xf>
    <xf numFmtId="3" fontId="33" fillId="0" borderId="26" xfId="0" applyFont="1" applyFill="1" applyBorder="1" applyAlignment="1">
      <alignment/>
    </xf>
    <xf numFmtId="0" fontId="0" fillId="0" borderId="27" xfId="0" applyNumberFormat="1" applyFont="1" applyBorder="1" applyAlignment="1" applyProtection="1">
      <alignment/>
      <protection locked="0"/>
    </xf>
    <xf numFmtId="3" fontId="35" fillId="0" borderId="26" xfId="0" applyFont="1" applyFill="1" applyBorder="1" applyAlignment="1">
      <alignment/>
    </xf>
    <xf numFmtId="0" fontId="31" fillId="0" borderId="0" xfId="0" applyNumberFormat="1" applyFont="1" applyAlignment="1" applyProtection="1">
      <alignment/>
      <protection locked="0"/>
    </xf>
    <xf numFmtId="0" fontId="35" fillId="0" borderId="28" xfId="0" applyNumberFormat="1" applyFont="1" applyBorder="1" applyAlignment="1" applyProtection="1">
      <alignment horizontal="justify" vertical="center" wrapText="1"/>
      <protection locked="0"/>
    </xf>
    <xf numFmtId="2" fontId="35" fillId="0" borderId="29" xfId="0" applyNumberFormat="1" applyFont="1" applyBorder="1" applyAlignment="1" applyProtection="1">
      <alignment horizontal="justify" vertical="center" wrapText="1"/>
      <protection locked="0"/>
    </xf>
    <xf numFmtId="39" fontId="35" fillId="0" borderId="29" xfId="0" applyNumberFormat="1" applyFont="1" applyBorder="1" applyAlignment="1" applyProtection="1">
      <alignment horizontal="justify" vertical="center" wrapText="1"/>
      <protection locked="0"/>
    </xf>
    <xf numFmtId="0" fontId="35" fillId="0" borderId="30" xfId="0" applyNumberFormat="1" applyFont="1" applyBorder="1" applyAlignment="1" applyProtection="1">
      <alignment horizontal="justify" vertical="center" wrapText="1"/>
      <protection locked="0"/>
    </xf>
    <xf numFmtId="2" fontId="35" fillId="0" borderId="31" xfId="0" applyNumberFormat="1" applyFont="1" applyBorder="1" applyAlignment="1" applyProtection="1">
      <alignment horizontal="justify" vertical="center" wrapText="1"/>
      <protection locked="0"/>
    </xf>
    <xf numFmtId="39" fontId="35" fillId="0" borderId="31" xfId="0" applyNumberFormat="1" applyFont="1" applyBorder="1" applyAlignment="1" applyProtection="1">
      <alignment horizontal="justify" vertical="center" wrapText="1"/>
      <protection locked="0"/>
    </xf>
    <xf numFmtId="0" fontId="33" fillId="0" borderId="30" xfId="0" applyNumberFormat="1" applyFont="1" applyBorder="1" applyAlignment="1" applyProtection="1">
      <alignment vertical="center" wrapText="1"/>
      <protection locked="0"/>
    </xf>
    <xf numFmtId="0" fontId="25" fillId="0" borderId="0" xfId="0" applyNumberFormat="1" applyFont="1" applyAlignment="1" applyProtection="1">
      <alignment/>
      <protection locked="0"/>
    </xf>
    <xf numFmtId="195" fontId="25" fillId="0" borderId="0" xfId="44" applyNumberFormat="1" applyFont="1" applyBorder="1" applyAlignment="1" applyProtection="1">
      <alignment/>
      <protection locked="0"/>
    </xf>
    <xf numFmtId="171" fontId="25" fillId="0" borderId="16" xfId="44" applyFont="1" applyBorder="1" applyAlignment="1" applyProtection="1">
      <alignment/>
      <protection locked="0"/>
    </xf>
    <xf numFmtId="195" fontId="0" fillId="0" borderId="20" xfId="44" applyNumberFormat="1" applyFont="1" applyBorder="1" applyAlignment="1" applyProtection="1">
      <alignment/>
      <protection locked="0"/>
    </xf>
    <xf numFmtId="196" fontId="25" fillId="0" borderId="0" xfId="44" applyNumberFormat="1" applyFont="1" applyBorder="1" applyAlignment="1" applyProtection="1">
      <alignment/>
      <protection locked="0"/>
    </xf>
    <xf numFmtId="196" fontId="0" fillId="0" borderId="16" xfId="44" applyNumberFormat="1" applyFont="1" applyBorder="1" applyAlignment="1" applyProtection="1">
      <alignment/>
      <protection locked="0"/>
    </xf>
    <xf numFmtId="196" fontId="23" fillId="0" borderId="16" xfId="44" applyNumberFormat="1" applyFont="1" applyBorder="1" applyAlignment="1" applyProtection="1">
      <alignment/>
      <protection locked="0"/>
    </xf>
    <xf numFmtId="196" fontId="25" fillId="0" borderId="16" xfId="44" applyNumberFormat="1" applyFont="1" applyBorder="1" applyAlignment="1" applyProtection="1">
      <alignment/>
      <protection locked="0"/>
    </xf>
    <xf numFmtId="195" fontId="0" fillId="0" borderId="21" xfId="44" applyNumberFormat="1" applyFont="1" applyBorder="1" applyAlignment="1" applyProtection="1">
      <alignment/>
      <protection locked="0"/>
    </xf>
    <xf numFmtId="195" fontId="0" fillId="0" borderId="22" xfId="44" applyNumberFormat="1" applyFont="1" applyBorder="1" applyAlignment="1" applyProtection="1">
      <alignment/>
      <protection locked="0"/>
    </xf>
    <xf numFmtId="195" fontId="0" fillId="0" borderId="23" xfId="44" applyNumberFormat="1" applyFont="1" applyBorder="1" applyAlignment="1" applyProtection="1">
      <alignment/>
      <protection locked="0"/>
    </xf>
    <xf numFmtId="0" fontId="0" fillId="0" borderId="32" xfId="0" applyNumberFormat="1" applyFont="1" applyBorder="1" applyAlignment="1" applyProtection="1">
      <alignment/>
      <protection locked="0"/>
    </xf>
    <xf numFmtId="6" fontId="0" fillId="0" borderId="21" xfId="0" applyNumberFormat="1" applyFont="1" applyBorder="1" applyAlignment="1" applyProtection="1">
      <alignment/>
      <protection locked="0"/>
    </xf>
    <xf numFmtId="6" fontId="0" fillId="0" borderId="22" xfId="0" applyNumberFormat="1" applyFont="1" applyBorder="1" applyAlignment="1" applyProtection="1">
      <alignment/>
      <protection locked="0"/>
    </xf>
    <xf numFmtId="6" fontId="0" fillId="0" borderId="23" xfId="0" applyNumberFormat="1" applyFont="1" applyBorder="1" applyAlignment="1" applyProtection="1">
      <alignment/>
      <protection locked="0"/>
    </xf>
    <xf numFmtId="0" fontId="26" fillId="0" borderId="0" xfId="0" applyNumberFormat="1" applyFont="1" applyBorder="1" applyAlignment="1" applyProtection="1">
      <alignment horizontal="center"/>
      <protection locked="0"/>
    </xf>
    <xf numFmtId="171" fontId="25" fillId="0" borderId="0" xfId="44" applyFont="1" applyBorder="1" applyAlignment="1" applyProtection="1">
      <alignment/>
      <protection locked="0"/>
    </xf>
    <xf numFmtId="196" fontId="0" fillId="0" borderId="23" xfId="44" applyNumberFormat="1" applyFont="1" applyBorder="1" applyAlignment="1" applyProtection="1">
      <alignment/>
      <protection locked="0"/>
    </xf>
    <xf numFmtId="195" fontId="23" fillId="0" borderId="20" xfId="44" applyNumberFormat="1" applyFont="1" applyBorder="1" applyAlignment="1" applyProtection="1">
      <alignment/>
      <protection locked="0"/>
    </xf>
    <xf numFmtId="195" fontId="23" fillId="0" borderId="16" xfId="0" applyNumberFormat="1" applyFont="1" applyBorder="1" applyAlignment="1" applyProtection="1">
      <alignment/>
      <protection locked="0"/>
    </xf>
    <xf numFmtId="6" fontId="23" fillId="0" borderId="20" xfId="0" applyNumberFormat="1" applyFont="1" applyBorder="1" applyAlignment="1" applyProtection="1">
      <alignment/>
      <protection locked="0"/>
    </xf>
    <xf numFmtId="6" fontId="23" fillId="0" borderId="0" xfId="0" applyNumberFormat="1" applyFont="1" applyBorder="1" applyAlignment="1" applyProtection="1">
      <alignment/>
      <protection locked="0"/>
    </xf>
    <xf numFmtId="0" fontId="23" fillId="0" borderId="0" xfId="0" applyNumberFormat="1" applyFont="1" applyBorder="1" applyAlignment="1" applyProtection="1">
      <alignment/>
      <protection locked="0"/>
    </xf>
    <xf numFmtId="195" fontId="0" fillId="0" borderId="21" xfId="0" applyNumberFormat="1" applyFont="1" applyBorder="1" applyAlignment="1" applyProtection="1">
      <alignment/>
      <protection locked="0"/>
    </xf>
    <xf numFmtId="195" fontId="0" fillId="0" borderId="22" xfId="0" applyNumberFormat="1" applyFont="1" applyBorder="1" applyAlignment="1" applyProtection="1">
      <alignment/>
      <protection locked="0"/>
    </xf>
    <xf numFmtId="195" fontId="0" fillId="0" borderId="23" xfId="0" applyNumberFormat="1" applyFont="1" applyBorder="1" applyAlignment="1" applyProtection="1">
      <alignment/>
      <protection locked="0"/>
    </xf>
    <xf numFmtId="171" fontId="0" fillId="0" borderId="21" xfId="44" applyFont="1" applyBorder="1" applyAlignment="1" applyProtection="1">
      <alignment/>
      <protection locked="0"/>
    </xf>
    <xf numFmtId="196" fontId="0" fillId="0" borderId="22" xfId="0" applyNumberFormat="1" applyFont="1" applyBorder="1" applyAlignment="1" applyProtection="1">
      <alignment/>
      <protection locked="0"/>
    </xf>
    <xf numFmtId="6" fontId="25" fillId="0" borderId="20" xfId="0" applyNumberFormat="1" applyFont="1" applyBorder="1" applyAlignment="1" applyProtection="1">
      <alignment/>
      <protection locked="0"/>
    </xf>
    <xf numFmtId="195" fontId="23" fillId="0" borderId="0" xfId="0" applyNumberFormat="1" applyFont="1" applyBorder="1" applyAlignment="1" applyProtection="1">
      <alignment/>
      <protection locked="0"/>
    </xf>
    <xf numFmtId="196" fontId="0" fillId="0" borderId="20" xfId="44" applyNumberFormat="1" applyFont="1" applyBorder="1" applyAlignment="1" applyProtection="1">
      <alignment/>
      <protection locked="0"/>
    </xf>
    <xf numFmtId="196" fontId="24" fillId="0" borderId="20" xfId="44" applyNumberFormat="1" applyFont="1" applyBorder="1" applyAlignment="1" applyProtection="1">
      <alignment/>
      <protection locked="0"/>
    </xf>
    <xf numFmtId="173" fontId="24" fillId="0" borderId="0" xfId="97" applyNumberFormat="1" applyFont="1" applyBorder="1" applyAlignment="1" applyProtection="1">
      <alignment/>
      <protection locked="0"/>
    </xf>
    <xf numFmtId="196" fontId="24" fillId="0" borderId="16" xfId="44" applyNumberFormat="1" applyFont="1" applyBorder="1" applyAlignment="1" applyProtection="1">
      <alignment/>
      <protection locked="0"/>
    </xf>
    <xf numFmtId="196" fontId="0" fillId="0" borderId="21" xfId="44" applyNumberFormat="1" applyFont="1" applyBorder="1" applyAlignment="1" applyProtection="1">
      <alignment/>
      <protection locked="0"/>
    </xf>
    <xf numFmtId="196" fontId="0" fillId="0" borderId="22" xfId="44" applyNumberFormat="1" applyFont="1" applyBorder="1" applyAlignment="1" applyProtection="1">
      <alignment/>
      <protection locked="0"/>
    </xf>
    <xf numFmtId="9" fontId="0" fillId="0" borderId="16" xfId="97" applyFont="1" applyBorder="1" applyAlignment="1" applyProtection="1">
      <alignment/>
      <protection locked="0"/>
    </xf>
    <xf numFmtId="195" fontId="25" fillId="0" borderId="20" xfId="44" applyNumberFormat="1" applyFont="1" applyBorder="1" applyAlignment="1" applyProtection="1">
      <alignment/>
      <protection locked="0"/>
    </xf>
    <xf numFmtId="9" fontId="25" fillId="0" borderId="16" xfId="97" applyFont="1" applyBorder="1" applyAlignment="1" applyProtection="1">
      <alignment/>
      <protection locked="0"/>
    </xf>
    <xf numFmtId="199" fontId="0" fillId="0" borderId="20" xfId="0" applyNumberFormat="1" applyFont="1" applyBorder="1" applyAlignment="1" applyProtection="1">
      <alignment/>
      <protection locked="0"/>
    </xf>
    <xf numFmtId="199" fontId="0" fillId="0" borderId="16" xfId="0" applyNumberFormat="1" applyFont="1" applyBorder="1" applyAlignment="1" applyProtection="1">
      <alignment/>
      <protection locked="0"/>
    </xf>
    <xf numFmtId="199" fontId="25" fillId="0" borderId="20" xfId="0" applyNumberFormat="1" applyFont="1" applyBorder="1" applyAlignment="1" applyProtection="1">
      <alignment/>
      <protection locked="0"/>
    </xf>
    <xf numFmtId="199" fontId="25" fillId="0" borderId="16" xfId="0" applyNumberFormat="1" applyFont="1" applyBorder="1" applyAlignment="1" applyProtection="1">
      <alignment/>
      <protection locked="0"/>
    </xf>
    <xf numFmtId="0" fontId="24" fillId="0" borderId="20" xfId="0" applyNumberFormat="1" applyFont="1" applyBorder="1" applyAlignment="1" applyProtection="1">
      <alignment horizontal="center" wrapText="1"/>
      <protection locked="0"/>
    </xf>
    <xf numFmtId="0" fontId="24" fillId="0" borderId="0" xfId="0" applyNumberFormat="1" applyFont="1" applyBorder="1" applyAlignment="1" applyProtection="1">
      <alignment horizontal="center"/>
      <protection locked="0"/>
    </xf>
    <xf numFmtId="0" fontId="24" fillId="0" borderId="16" xfId="0" applyNumberFormat="1" applyFont="1" applyBorder="1" applyAlignment="1" applyProtection="1">
      <alignment horizontal="center"/>
      <protection locked="0"/>
    </xf>
    <xf numFmtId="196" fontId="0" fillId="0" borderId="16" xfId="0" applyNumberFormat="1" applyFont="1" applyBorder="1" applyAlignment="1" applyProtection="1">
      <alignment/>
      <protection locked="0"/>
    </xf>
    <xf numFmtId="195" fontId="0" fillId="0" borderId="26" xfId="44" applyNumberFormat="1" applyFont="1" applyBorder="1" applyAlignment="1" applyProtection="1">
      <alignment/>
      <protection locked="0"/>
    </xf>
    <xf numFmtId="195" fontId="23" fillId="0" borderId="26" xfId="44" applyNumberFormat="1" applyFont="1" applyBorder="1" applyAlignment="1" applyProtection="1">
      <alignment/>
      <protection locked="0"/>
    </xf>
    <xf numFmtId="0" fontId="24" fillId="0" borderId="20" xfId="0" applyNumberFormat="1" applyFont="1" applyBorder="1" applyAlignment="1" applyProtection="1">
      <alignment horizontal="center"/>
      <protection locked="0"/>
    </xf>
    <xf numFmtId="0" fontId="24" fillId="0" borderId="0" xfId="0" applyNumberFormat="1" applyFont="1" applyBorder="1" applyAlignment="1" applyProtection="1">
      <alignment horizontal="center" wrapText="1"/>
      <protection locked="0"/>
    </xf>
    <xf numFmtId="173" fontId="23" fillId="0" borderId="0" xfId="97" applyNumberFormat="1" applyFont="1" applyBorder="1" applyAlignment="1" applyProtection="1">
      <alignment/>
      <protection locked="0"/>
    </xf>
    <xf numFmtId="0" fontId="0" fillId="0" borderId="16" xfId="0" applyNumberFormat="1" applyFont="1" applyBorder="1" applyAlignment="1" applyProtection="1">
      <alignment wrapText="1"/>
      <protection locked="0"/>
    </xf>
    <xf numFmtId="196" fontId="24" fillId="0" borderId="0" xfId="44" applyNumberFormat="1" applyFont="1" applyBorder="1" applyAlignment="1" applyProtection="1">
      <alignment/>
      <protection locked="0"/>
    </xf>
    <xf numFmtId="195" fontId="24" fillId="0" borderId="20" xfId="44" applyNumberFormat="1" applyFont="1" applyBorder="1" applyAlignment="1" applyProtection="1">
      <alignment/>
      <protection locked="0"/>
    </xf>
    <xf numFmtId="195" fontId="0" fillId="0" borderId="16" xfId="44" applyNumberFormat="1" applyFont="1" applyBorder="1" applyAlignment="1" applyProtection="1">
      <alignment/>
      <protection locked="0"/>
    </xf>
    <xf numFmtId="195" fontId="24" fillId="0" borderId="16" xfId="44" applyNumberFormat="1" applyFont="1" applyBorder="1" applyAlignment="1" applyProtection="1">
      <alignment/>
      <protection locked="0"/>
    </xf>
    <xf numFmtId="203" fontId="0" fillId="0" borderId="16" xfId="0" applyNumberFormat="1" applyFont="1" applyBorder="1" applyAlignment="1" applyProtection="1">
      <alignment/>
      <protection locked="0"/>
    </xf>
    <xf numFmtId="203" fontId="0" fillId="0" borderId="0" xfId="44" applyNumberFormat="1" applyFont="1" applyBorder="1" applyAlignment="1" applyProtection="1">
      <alignment/>
      <protection locked="0"/>
    </xf>
    <xf numFmtId="203" fontId="25" fillId="0" borderId="0" xfId="44" applyNumberFormat="1" applyFont="1" applyBorder="1" applyAlignment="1" applyProtection="1">
      <alignment/>
      <protection locked="0"/>
    </xf>
    <xf numFmtId="203" fontId="0" fillId="0" borderId="16" xfId="44" applyNumberFormat="1" applyFont="1" applyBorder="1" applyAlignment="1" applyProtection="1">
      <alignment/>
      <protection locked="0"/>
    </xf>
    <xf numFmtId="195" fontId="0" fillId="0" borderId="20" xfId="44" applyNumberFormat="1" applyFont="1" applyBorder="1" applyAlignment="1" applyProtection="1">
      <alignment/>
      <protection locked="0"/>
    </xf>
    <xf numFmtId="9" fontId="0" fillId="0" borderId="0" xfId="97" applyFont="1" applyBorder="1" applyAlignment="1" applyProtection="1">
      <alignment/>
      <protection locked="0"/>
    </xf>
    <xf numFmtId="203" fontId="0" fillId="0" borderId="16" xfId="44" applyNumberFormat="1" applyFont="1" applyBorder="1" applyAlignment="1" applyProtection="1">
      <alignment/>
      <protection locked="0"/>
    </xf>
    <xf numFmtId="173" fontId="0" fillId="0" borderId="0" xfId="44" applyNumberFormat="1" applyFont="1" applyBorder="1" applyAlignment="1" applyProtection="1">
      <alignment/>
      <protection locked="0"/>
    </xf>
    <xf numFmtId="43" fontId="0" fillId="0" borderId="16" xfId="44" applyNumberFormat="1" applyFont="1" applyBorder="1" applyAlignment="1" applyProtection="1">
      <alignment/>
      <protection locked="0"/>
    </xf>
    <xf numFmtId="173" fontId="0" fillId="0" borderId="0" xfId="44" applyNumberFormat="1" applyFont="1" applyBorder="1" applyAlignment="1" applyProtection="1">
      <alignment/>
      <protection locked="0"/>
    </xf>
    <xf numFmtId="43" fontId="0" fillId="0" borderId="16" xfId="44" applyNumberFormat="1" applyFont="1" applyBorder="1" applyAlignment="1" applyProtection="1">
      <alignment/>
      <protection locked="0"/>
    </xf>
    <xf numFmtId="203" fontId="0" fillId="0" borderId="22" xfId="0" applyNumberFormat="1" applyFont="1" applyBorder="1" applyAlignment="1" applyProtection="1">
      <alignment/>
      <protection locked="0"/>
    </xf>
    <xf numFmtId="203" fontId="0" fillId="0" borderId="23" xfId="0" applyNumberFormat="1" applyFont="1" applyBorder="1" applyAlignment="1" applyProtection="1">
      <alignment/>
      <protection locked="0"/>
    </xf>
    <xf numFmtId="0" fontId="0" fillId="0" borderId="20" xfId="0" applyNumberFormat="1" applyFont="1" applyBorder="1" applyAlignment="1" applyProtection="1">
      <alignment wrapText="1"/>
      <protection locked="0"/>
    </xf>
    <xf numFmtId="203" fontId="0" fillId="0" borderId="20" xfId="0" applyNumberFormat="1" applyFont="1" applyBorder="1" applyAlignment="1" applyProtection="1">
      <alignment/>
      <protection locked="0"/>
    </xf>
    <xf numFmtId="203" fontId="0" fillId="0" borderId="0" xfId="0" applyNumberFormat="1" applyFont="1" applyBorder="1" applyAlignment="1" applyProtection="1">
      <alignment/>
      <protection locked="0"/>
    </xf>
    <xf numFmtId="203" fontId="0" fillId="0" borderId="20" xfId="0" applyNumberFormat="1" applyFont="1" applyBorder="1" applyAlignment="1" applyProtection="1">
      <alignment/>
      <protection locked="0"/>
    </xf>
    <xf numFmtId="203" fontId="0" fillId="0" borderId="0" xfId="0" applyNumberFormat="1" applyFont="1" applyBorder="1" applyAlignment="1" applyProtection="1">
      <alignment/>
      <protection locked="0"/>
    </xf>
    <xf numFmtId="199" fontId="0" fillId="0" borderId="23" xfId="0" applyNumberFormat="1" applyFont="1" applyBorder="1" applyAlignment="1" applyProtection="1">
      <alignment/>
      <protection locked="0"/>
    </xf>
    <xf numFmtId="196" fontId="23" fillId="0" borderId="20" xfId="44" applyNumberFormat="1" applyFont="1" applyBorder="1" applyAlignment="1" applyProtection="1">
      <alignment/>
      <protection locked="0"/>
    </xf>
    <xf numFmtId="0" fontId="0" fillId="0" borderId="16" xfId="0" applyNumberFormat="1" applyFont="1" applyBorder="1" applyAlignment="1" applyProtection="1">
      <alignment horizontal="center" wrapText="1"/>
      <protection locked="0"/>
    </xf>
    <xf numFmtId="8" fontId="0" fillId="0" borderId="20" xfId="0" applyNumberFormat="1" applyFont="1" applyBorder="1" applyAlignment="1" applyProtection="1">
      <alignment/>
      <protection locked="0"/>
    </xf>
    <xf numFmtId="8" fontId="25" fillId="0" borderId="20" xfId="0" applyNumberFormat="1" applyFont="1" applyBorder="1" applyAlignment="1" applyProtection="1">
      <alignment/>
      <protection locked="0"/>
    </xf>
    <xf numFmtId="0" fontId="32" fillId="0" borderId="0" xfId="0" applyNumberFormat="1" applyFont="1" applyAlignment="1" applyProtection="1">
      <alignment/>
      <protection locked="0"/>
    </xf>
    <xf numFmtId="10" fontId="0" fillId="0" borderId="0" xfId="97" applyNumberFormat="1" applyFont="1" applyAlignment="1" applyProtection="1">
      <alignment/>
      <protection locked="0"/>
    </xf>
    <xf numFmtId="0" fontId="0" fillId="0" borderId="9" xfId="0" applyNumberFormat="1" applyFont="1" applyBorder="1" applyAlignment="1" applyProtection="1">
      <alignment/>
      <protection locked="0"/>
    </xf>
    <xf numFmtId="199" fontId="0" fillId="0" borderId="0" xfId="0" applyNumberFormat="1" applyFont="1" applyFill="1" applyAlignment="1" applyProtection="1">
      <alignment/>
      <protection locked="0"/>
    </xf>
    <xf numFmtId="6" fontId="0" fillId="0" borderId="0" xfId="0" applyNumberFormat="1" applyFont="1" applyFill="1" applyAlignment="1" applyProtection="1">
      <alignment/>
      <protection locked="0"/>
    </xf>
    <xf numFmtId="199" fontId="23" fillId="0" borderId="0" xfId="0" applyNumberFormat="1" applyFont="1" applyFill="1" applyAlignment="1" applyProtection="1">
      <alignment/>
      <protection locked="0"/>
    </xf>
    <xf numFmtId="6" fontId="23" fillId="0" borderId="0" xfId="0" applyNumberFormat="1" applyFont="1" applyFill="1" applyAlignment="1" applyProtection="1">
      <alignment/>
      <protection locked="0"/>
    </xf>
    <xf numFmtId="0" fontId="0" fillId="0" borderId="33" xfId="0" applyNumberFormat="1" applyFont="1" applyBorder="1" applyAlignment="1" applyProtection="1">
      <alignment horizontal="center"/>
      <protection locked="0"/>
    </xf>
    <xf numFmtId="205" fontId="0" fillId="0" borderId="0" xfId="0" applyNumberFormat="1" applyFont="1" applyBorder="1" applyAlignment="1" applyProtection="1">
      <alignment/>
      <protection locked="0"/>
    </xf>
    <xf numFmtId="205" fontId="0" fillId="0" borderId="22" xfId="0" applyNumberFormat="1" applyFont="1" applyBorder="1" applyAlignment="1" applyProtection="1">
      <alignment/>
      <protection locked="0"/>
    </xf>
    <xf numFmtId="171" fontId="0" fillId="0" borderId="20" xfId="44" applyFont="1" applyBorder="1" applyAlignment="1" applyProtection="1">
      <alignment/>
      <protection locked="0"/>
    </xf>
    <xf numFmtId="171" fontId="23" fillId="0" borderId="20" xfId="44" applyFont="1" applyBorder="1" applyAlignment="1" applyProtection="1">
      <alignment/>
      <protection locked="0"/>
    </xf>
    <xf numFmtId="6" fontId="0" fillId="0" borderId="26" xfId="0" applyNumberFormat="1" applyFont="1" applyBorder="1" applyAlignment="1" applyProtection="1">
      <alignment/>
      <protection locked="0"/>
    </xf>
    <xf numFmtId="6" fontId="25" fillId="0" borderId="26" xfId="0" applyNumberFormat="1" applyFont="1" applyBorder="1" applyAlignment="1" applyProtection="1">
      <alignment/>
      <protection locked="0"/>
    </xf>
    <xf numFmtId="205" fontId="25" fillId="0" borderId="0" xfId="0" applyNumberFormat="1" applyFont="1" applyBorder="1" applyAlignment="1" applyProtection="1">
      <alignment/>
      <protection locked="0"/>
    </xf>
    <xf numFmtId="205" fontId="0" fillId="0" borderId="20" xfId="0" applyNumberFormat="1" applyFont="1" applyBorder="1" applyAlignment="1" applyProtection="1">
      <alignment/>
      <protection locked="0"/>
    </xf>
    <xf numFmtId="205" fontId="25" fillId="0" borderId="20" xfId="0" applyNumberFormat="1" applyFont="1" applyBorder="1" applyAlignment="1" applyProtection="1">
      <alignment/>
      <protection locked="0"/>
    </xf>
    <xf numFmtId="205" fontId="0" fillId="0" borderId="21" xfId="0" applyNumberFormat="1" applyFont="1" applyBorder="1" applyAlignment="1" applyProtection="1">
      <alignment/>
      <protection locked="0"/>
    </xf>
    <xf numFmtId="0" fontId="0" fillId="0" borderId="20" xfId="0" applyNumberFormat="1" applyFont="1" applyFill="1" applyBorder="1" applyAlignment="1" applyProtection="1">
      <alignment horizontal="center" wrapText="1"/>
      <protection locked="0"/>
    </xf>
    <xf numFmtId="0" fontId="0" fillId="0" borderId="16" xfId="0" applyNumberFormat="1" applyFont="1" applyFill="1" applyBorder="1" applyAlignment="1" applyProtection="1">
      <alignment horizontal="center" wrapText="1"/>
      <protection locked="0"/>
    </xf>
    <xf numFmtId="0" fontId="0" fillId="0" borderId="0" xfId="0" applyNumberFormat="1" applyFont="1" applyFill="1" applyAlignment="1" applyProtection="1">
      <alignment/>
      <protection locked="0"/>
    </xf>
    <xf numFmtId="0" fontId="0" fillId="0" borderId="0" xfId="0" applyNumberFormat="1" applyFont="1" applyFill="1" applyAlignment="1" applyProtection="1">
      <alignment horizontal="center"/>
      <protection locked="0"/>
    </xf>
    <xf numFmtId="2" fontId="0" fillId="0" borderId="0" xfId="0" applyNumberFormat="1" applyFont="1" applyFill="1" applyAlignment="1" applyProtection="1">
      <alignment/>
      <protection locked="0"/>
    </xf>
    <xf numFmtId="0" fontId="25" fillId="0" borderId="0" xfId="0" applyNumberFormat="1" applyFont="1" applyFill="1" applyAlignment="1" applyProtection="1">
      <alignment/>
      <protection locked="0"/>
    </xf>
    <xf numFmtId="0" fontId="28" fillId="0" borderId="0" xfId="0" applyNumberFormat="1" applyFont="1" applyFill="1" applyAlignment="1" applyProtection="1">
      <alignment/>
      <protection locked="0"/>
    </xf>
    <xf numFmtId="0" fontId="26" fillId="0" borderId="0" xfId="0" applyNumberFormat="1" applyFont="1" applyFill="1" applyAlignment="1" applyProtection="1">
      <alignment/>
      <protection locked="0"/>
    </xf>
    <xf numFmtId="0" fontId="0" fillId="0" borderId="25" xfId="0" applyNumberFormat="1" applyFont="1" applyFill="1" applyBorder="1" applyAlignment="1" applyProtection="1">
      <alignment horizontal="center"/>
      <protection locked="0"/>
    </xf>
    <xf numFmtId="0" fontId="0" fillId="0" borderId="16" xfId="0" applyNumberFormat="1" applyFont="1" applyFill="1" applyBorder="1" applyAlignment="1" applyProtection="1">
      <alignment horizontal="center"/>
      <protection locked="0"/>
    </xf>
    <xf numFmtId="0" fontId="0" fillId="0" borderId="26" xfId="0" applyNumberFormat="1" applyFont="1" applyFill="1" applyBorder="1" applyAlignment="1" applyProtection="1">
      <alignment horizontal="center" wrapText="1"/>
      <protection locked="0"/>
    </xf>
    <xf numFmtId="0" fontId="0" fillId="0" borderId="20" xfId="0" applyNumberFormat="1" applyFont="1" applyFill="1" applyBorder="1" applyAlignment="1" applyProtection="1">
      <alignment/>
      <protection locked="0"/>
    </xf>
    <xf numFmtId="0" fontId="0" fillId="0" borderId="16" xfId="0" applyNumberFormat="1" applyFont="1" applyFill="1" applyBorder="1" applyAlignment="1" applyProtection="1">
      <alignment/>
      <protection locked="0"/>
    </xf>
    <xf numFmtId="0" fontId="0" fillId="0" borderId="26" xfId="0" applyNumberFormat="1" applyFont="1" applyFill="1" applyBorder="1" applyAlignment="1" applyProtection="1">
      <alignment/>
      <protection locked="0"/>
    </xf>
    <xf numFmtId="171" fontId="0" fillId="0" borderId="20" xfId="44" applyFont="1" applyFill="1" applyBorder="1" applyAlignment="1" applyProtection="1">
      <alignment/>
      <protection locked="0"/>
    </xf>
    <xf numFmtId="6" fontId="0" fillId="0" borderId="16" xfId="0" applyNumberFormat="1" applyFont="1" applyFill="1" applyBorder="1" applyAlignment="1" applyProtection="1">
      <alignment/>
      <protection locked="0"/>
    </xf>
    <xf numFmtId="6" fontId="0" fillId="0" borderId="26" xfId="0" applyNumberFormat="1" applyFont="1" applyFill="1" applyBorder="1" applyAlignment="1" applyProtection="1">
      <alignment/>
      <protection locked="0"/>
    </xf>
    <xf numFmtId="0" fontId="36" fillId="0" borderId="0" xfId="0" applyNumberFormat="1" applyFont="1" applyAlignment="1" applyProtection="1">
      <alignment/>
      <protection locked="0"/>
    </xf>
    <xf numFmtId="171" fontId="0" fillId="0" borderId="0" xfId="44" applyNumberFormat="1" applyFont="1" applyAlignment="1" applyProtection="1">
      <alignment/>
      <protection locked="0"/>
    </xf>
    <xf numFmtId="197" fontId="0" fillId="0" borderId="0" xfId="44" applyNumberFormat="1" applyFont="1" applyAlignment="1" applyProtection="1">
      <alignment/>
      <protection locked="0"/>
    </xf>
    <xf numFmtId="171" fontId="0" fillId="0" borderId="0" xfId="44" applyFont="1" applyFill="1" applyAlignment="1" applyProtection="1">
      <alignment/>
      <protection locked="0"/>
    </xf>
    <xf numFmtId="171" fontId="0" fillId="0" borderId="0" xfId="44" applyFont="1" applyAlignment="1" applyProtection="1">
      <alignment wrapText="1"/>
      <protection locked="0"/>
    </xf>
    <xf numFmtId="197" fontId="31" fillId="0" borderId="0" xfId="44" applyNumberFormat="1" applyFont="1" applyAlignment="1" applyProtection="1">
      <alignment/>
      <protection locked="0"/>
    </xf>
    <xf numFmtId="204" fontId="0" fillId="0" borderId="20" xfId="0" applyNumberFormat="1" applyFont="1" applyBorder="1" applyAlignment="1" applyProtection="1">
      <alignment/>
      <protection locked="0"/>
    </xf>
    <xf numFmtId="204" fontId="0" fillId="0" borderId="0" xfId="0" applyNumberFormat="1" applyFont="1" applyBorder="1" applyAlignment="1" applyProtection="1">
      <alignment/>
      <protection locked="0"/>
    </xf>
    <xf numFmtId="204" fontId="0" fillId="0" borderId="16" xfId="0" applyNumberFormat="1" applyFont="1" applyBorder="1" applyAlignment="1" applyProtection="1">
      <alignment/>
      <protection locked="0"/>
    </xf>
    <xf numFmtId="10" fontId="0" fillId="0" borderId="0" xfId="0" applyNumberFormat="1" applyFont="1" applyAlignment="1" applyProtection="1">
      <alignment/>
      <protection locked="0"/>
    </xf>
    <xf numFmtId="171" fontId="0" fillId="0" borderId="16" xfId="44" applyNumberFormat="1" applyFont="1" applyBorder="1" applyAlignment="1" applyProtection="1">
      <alignment/>
      <protection locked="0"/>
    </xf>
    <xf numFmtId="171" fontId="23" fillId="0" borderId="16" xfId="44" applyNumberFormat="1" applyFont="1" applyBorder="1" applyAlignment="1" applyProtection="1">
      <alignment/>
      <protection locked="0"/>
    </xf>
    <xf numFmtId="171" fontId="0" fillId="0" borderId="23" xfId="44" applyNumberFormat="1" applyFont="1" applyBorder="1" applyAlignment="1" applyProtection="1">
      <alignment/>
      <protection locked="0"/>
    </xf>
    <xf numFmtId="204" fontId="0" fillId="0" borderId="0" xfId="0" applyNumberFormat="1" applyFont="1" applyFill="1" applyAlignment="1" applyProtection="1">
      <alignment/>
      <protection locked="0"/>
    </xf>
    <xf numFmtId="204" fontId="25" fillId="0" borderId="0" xfId="0" applyNumberFormat="1" applyFont="1" applyFill="1" applyAlignment="1" applyProtection="1">
      <alignment/>
      <protection locked="0"/>
    </xf>
    <xf numFmtId="171" fontId="23" fillId="0" borderId="0" xfId="44" applyNumberFormat="1" applyFont="1" applyAlignment="1" applyProtection="1">
      <alignment/>
      <protection locked="0"/>
    </xf>
    <xf numFmtId="171" fontId="0" fillId="0" borderId="0" xfId="44" applyNumberFormat="1" applyFont="1" applyBorder="1" applyAlignment="1" applyProtection="1">
      <alignment/>
      <protection locked="0"/>
    </xf>
    <xf numFmtId="2" fontId="0" fillId="0" borderId="16" xfId="0" applyNumberFormat="1" applyFont="1" applyBorder="1" applyAlignment="1" applyProtection="1">
      <alignment/>
      <protection locked="0"/>
    </xf>
    <xf numFmtId="2" fontId="23" fillId="0" borderId="16" xfId="0" applyNumberFormat="1" applyFont="1" applyBorder="1" applyAlignment="1" applyProtection="1">
      <alignment/>
      <protection locked="0"/>
    </xf>
    <xf numFmtId="2" fontId="0" fillId="0" borderId="23" xfId="0" applyNumberFormat="1" applyFont="1" applyBorder="1" applyAlignment="1" applyProtection="1">
      <alignment/>
      <protection locked="0"/>
    </xf>
    <xf numFmtId="8" fontId="0" fillId="0" borderId="0" xfId="0" applyNumberFormat="1" applyFont="1" applyFill="1" applyAlignment="1" applyProtection="1">
      <alignment/>
      <protection locked="0"/>
    </xf>
    <xf numFmtId="8" fontId="25" fillId="0" borderId="0" xfId="0" applyNumberFormat="1" applyFont="1" applyFill="1" applyAlignment="1" applyProtection="1">
      <alignment/>
      <protection locked="0"/>
    </xf>
    <xf numFmtId="173" fontId="25" fillId="0" borderId="0" xfId="97" applyNumberFormat="1" applyFont="1" applyAlignment="1" applyProtection="1">
      <alignment/>
      <protection locked="0"/>
    </xf>
    <xf numFmtId="196" fontId="0" fillId="0" borderId="0" xfId="0" applyNumberFormat="1" applyFont="1" applyAlignment="1" applyProtection="1">
      <alignment/>
      <protection locked="0"/>
    </xf>
    <xf numFmtId="195" fontId="23" fillId="0" borderId="0" xfId="0" applyNumberFormat="1" applyFont="1" applyAlignment="1" applyProtection="1">
      <alignment/>
      <protection locked="0"/>
    </xf>
    <xf numFmtId="43" fontId="23" fillId="0" borderId="0" xfId="0" applyNumberFormat="1" applyFont="1" applyAlignment="1" applyProtection="1">
      <alignment/>
      <protection locked="0"/>
    </xf>
    <xf numFmtId="0" fontId="0" fillId="0" borderId="25" xfId="0" applyNumberFormat="1" applyFont="1" applyBorder="1" applyAlignment="1" applyProtection="1">
      <alignment/>
      <protection locked="0"/>
    </xf>
    <xf numFmtId="173" fontId="0" fillId="0" borderId="0" xfId="97" applyNumberFormat="1" applyFont="1" applyFill="1" applyBorder="1" applyAlignment="1" applyProtection="1">
      <alignment/>
      <protection locked="0"/>
    </xf>
    <xf numFmtId="195" fontId="0" fillId="0" borderId="0" xfId="44" applyNumberFormat="1" applyFont="1" applyFill="1" applyBorder="1" applyAlignment="1" applyProtection="1">
      <alignment/>
      <protection locked="0"/>
    </xf>
    <xf numFmtId="195" fontId="0" fillId="0" borderId="16" xfId="44" applyNumberFormat="1" applyFont="1" applyFill="1" applyBorder="1" applyAlignment="1" applyProtection="1">
      <alignment/>
      <protection locked="0"/>
    </xf>
    <xf numFmtId="173" fontId="24" fillId="0" borderId="0" xfId="97" applyNumberFormat="1" applyFont="1" applyFill="1" applyBorder="1" applyAlignment="1" applyProtection="1">
      <alignment/>
      <protection locked="0"/>
    </xf>
    <xf numFmtId="195" fontId="24" fillId="0" borderId="0" xfId="44" applyNumberFormat="1" applyFont="1" applyFill="1" applyBorder="1" applyAlignment="1" applyProtection="1">
      <alignment/>
      <protection locked="0"/>
    </xf>
    <xf numFmtId="195" fontId="24" fillId="0" borderId="16" xfId="44" applyNumberFormat="1" applyFont="1" applyFill="1" applyBorder="1" applyAlignment="1" applyProtection="1">
      <alignment/>
      <protection locked="0"/>
    </xf>
    <xf numFmtId="0" fontId="0" fillId="0" borderId="0" xfId="0" applyNumberFormat="1" applyFont="1" applyFill="1" applyAlignment="1" applyProtection="1">
      <alignment wrapText="1"/>
      <protection locked="0"/>
    </xf>
    <xf numFmtId="199" fontId="0" fillId="0" borderId="22" xfId="0" applyNumberFormat="1" applyFont="1" applyFill="1" applyBorder="1" applyAlignment="1" applyProtection="1">
      <alignment/>
      <protection locked="0"/>
    </xf>
    <xf numFmtId="0" fontId="0" fillId="0" borderId="0" xfId="0" applyNumberFormat="1" applyFont="1" applyFill="1" applyAlignment="1" applyProtection="1">
      <alignment horizontal="right"/>
      <protection locked="0"/>
    </xf>
    <xf numFmtId="173" fontId="0" fillId="0" borderId="0" xfId="97" applyNumberFormat="1" applyFont="1" applyFill="1" applyAlignment="1" applyProtection="1">
      <alignment/>
      <protection locked="0"/>
    </xf>
    <xf numFmtId="171" fontId="0" fillId="0" borderId="20" xfId="44" applyFont="1" applyFill="1" applyBorder="1" applyAlignment="1" applyProtection="1">
      <alignment/>
      <protection locked="0"/>
    </xf>
    <xf numFmtId="171" fontId="0" fillId="0" borderId="21" xfId="44" applyFont="1" applyFill="1" applyBorder="1" applyAlignment="1" applyProtection="1">
      <alignment/>
      <protection locked="0"/>
    </xf>
    <xf numFmtId="0" fontId="24" fillId="0" borderId="0" xfId="0" applyNumberFormat="1" applyFont="1" applyFill="1" applyAlignment="1" applyProtection="1">
      <alignment/>
      <protection locked="0"/>
    </xf>
    <xf numFmtId="196" fontId="0" fillId="0" borderId="0" xfId="44" applyNumberFormat="1" applyFont="1" applyFill="1" applyAlignment="1" applyProtection="1">
      <alignment/>
      <protection locked="0"/>
    </xf>
    <xf numFmtId="196" fontId="23" fillId="0" borderId="0" xfId="44" applyNumberFormat="1" applyFont="1" applyFill="1" applyAlignment="1" applyProtection="1">
      <alignment/>
      <protection locked="0"/>
    </xf>
    <xf numFmtId="171" fontId="0" fillId="0" borderId="0" xfId="44" applyFont="1" applyFill="1" applyAlignment="1" applyProtection="1">
      <alignment/>
      <protection locked="0"/>
    </xf>
    <xf numFmtId="197" fontId="0" fillId="0" borderId="0" xfId="44" applyNumberFormat="1" applyFont="1" applyFill="1" applyAlignment="1" applyProtection="1">
      <alignment/>
      <protection locked="0"/>
    </xf>
    <xf numFmtId="171" fontId="24" fillId="0" borderId="0" xfId="44" applyNumberFormat="1" applyFont="1" applyFill="1" applyAlignment="1" applyProtection="1">
      <alignment/>
      <protection locked="0"/>
    </xf>
    <xf numFmtId="171" fontId="0" fillId="0" borderId="0" xfId="44" applyNumberFormat="1" applyFont="1" applyFill="1" applyAlignment="1" applyProtection="1">
      <alignment/>
      <protection locked="0"/>
    </xf>
    <xf numFmtId="196" fontId="23" fillId="0" borderId="0" xfId="0" applyNumberFormat="1" applyFont="1" applyAlignment="1" applyProtection="1">
      <alignment/>
      <protection locked="0"/>
    </xf>
    <xf numFmtId="0" fontId="32" fillId="0" borderId="32" xfId="0" applyNumberFormat="1" applyFont="1" applyBorder="1" applyAlignment="1" applyProtection="1">
      <alignment horizontal="center"/>
      <protection locked="0"/>
    </xf>
    <xf numFmtId="0" fontId="32" fillId="0" borderId="33" xfId="0" applyNumberFormat="1" applyFont="1" applyBorder="1" applyAlignment="1" applyProtection="1">
      <alignment horizontal="center"/>
      <protection locked="0"/>
    </xf>
    <xf numFmtId="0" fontId="32" fillId="0" borderId="24" xfId="0" applyNumberFormat="1" applyFont="1" applyBorder="1" applyAlignment="1" applyProtection="1">
      <alignment horizontal="center"/>
      <protection locked="0"/>
    </xf>
    <xf numFmtId="0" fontId="32" fillId="0" borderId="34" xfId="0" applyNumberFormat="1" applyFont="1" applyBorder="1" applyAlignment="1" applyProtection="1">
      <alignment horizontal="center"/>
      <protection locked="0"/>
    </xf>
    <xf numFmtId="0" fontId="32" fillId="0" borderId="5" xfId="0" applyNumberFormat="1" applyFont="1" applyBorder="1" applyAlignment="1" applyProtection="1">
      <alignment horizontal="center"/>
      <protection locked="0"/>
    </xf>
    <xf numFmtId="0" fontId="32" fillId="0" borderId="35" xfId="0" applyNumberFormat="1" applyFont="1" applyBorder="1" applyAlignment="1" applyProtection="1">
      <alignment horizontal="center"/>
      <protection locked="0"/>
    </xf>
    <xf numFmtId="0" fontId="0" fillId="0" borderId="32" xfId="0" applyNumberFormat="1" applyFont="1" applyBorder="1" applyAlignment="1" applyProtection="1">
      <alignment horizontal="center" wrapText="1"/>
      <protection locked="0"/>
    </xf>
    <xf numFmtId="0" fontId="0" fillId="0" borderId="24" xfId="0" applyNumberFormat="1" applyFont="1" applyBorder="1" applyAlignment="1" applyProtection="1">
      <alignment horizontal="center" wrapText="1"/>
      <protection locked="0"/>
    </xf>
    <xf numFmtId="0" fontId="26" fillId="0" borderId="32" xfId="0" applyNumberFormat="1" applyFont="1" applyBorder="1" applyAlignment="1" applyProtection="1">
      <alignment horizontal="center"/>
      <protection locked="0"/>
    </xf>
    <xf numFmtId="0" fontId="26" fillId="0" borderId="24" xfId="0" applyNumberFormat="1" applyFont="1" applyBorder="1" applyAlignment="1" applyProtection="1">
      <alignment horizontal="center"/>
      <protection locked="0"/>
    </xf>
    <xf numFmtId="0" fontId="0" fillId="0" borderId="33" xfId="0" applyNumberFormat="1" applyFont="1" applyBorder="1" applyAlignment="1" applyProtection="1">
      <alignment horizontal="center"/>
      <protection locked="0"/>
    </xf>
    <xf numFmtId="0" fontId="0" fillId="0" borderId="24" xfId="0" applyNumberFormat="1" applyFont="1" applyBorder="1" applyAlignment="1" applyProtection="1">
      <alignment horizontal="center"/>
      <protection locked="0"/>
    </xf>
    <xf numFmtId="0" fontId="0" fillId="0" borderId="0" xfId="0" applyNumberFormat="1" applyFont="1" applyBorder="1" applyAlignment="1" applyProtection="1">
      <alignment horizontal="center"/>
      <protection locked="0"/>
    </xf>
    <xf numFmtId="0" fontId="0" fillId="0" borderId="16" xfId="0" applyNumberFormat="1" applyFont="1" applyBorder="1" applyAlignment="1" applyProtection="1">
      <alignment horizontal="center"/>
      <protection locked="0"/>
    </xf>
    <xf numFmtId="0" fontId="0" fillId="0" borderId="32" xfId="0" applyNumberFormat="1" applyFont="1" applyBorder="1" applyAlignment="1" applyProtection="1">
      <alignment horizontal="center"/>
      <protection locked="0"/>
    </xf>
    <xf numFmtId="0" fontId="26" fillId="0" borderId="33" xfId="0" applyNumberFormat="1" applyFont="1" applyBorder="1" applyAlignment="1" applyProtection="1">
      <alignment/>
      <protection locked="0"/>
    </xf>
    <xf numFmtId="0" fontId="34" fillId="0" borderId="24" xfId="0" applyNumberFormat="1" applyFont="1" applyBorder="1" applyAlignment="1" applyProtection="1">
      <alignment/>
      <protection locked="0"/>
    </xf>
    <xf numFmtId="0" fontId="0" fillId="0" borderId="20" xfId="0" applyNumberFormat="1" applyFont="1" applyBorder="1" applyAlignment="1" applyProtection="1">
      <alignment horizontal="center"/>
      <protection locked="0"/>
    </xf>
    <xf numFmtId="0" fontId="26" fillId="0" borderId="34" xfId="0" applyNumberFormat="1" applyFont="1" applyBorder="1" applyAlignment="1" applyProtection="1">
      <alignment horizontal="center" wrapText="1"/>
      <protection locked="0"/>
    </xf>
    <xf numFmtId="0" fontId="0" fillId="0" borderId="5" xfId="0" applyNumberFormat="1" applyFont="1" applyBorder="1" applyAlignment="1" applyProtection="1">
      <alignment horizontal="center" wrapText="1"/>
      <protection locked="0"/>
    </xf>
    <xf numFmtId="0" fontId="0" fillId="0" borderId="35" xfId="0" applyNumberFormat="1" applyFont="1" applyBorder="1" applyAlignment="1" applyProtection="1">
      <alignment horizontal="center" wrapText="1"/>
      <protection locked="0"/>
    </xf>
    <xf numFmtId="0" fontId="0" fillId="0" borderId="24" xfId="0" applyNumberFormat="1" applyFont="1" applyBorder="1" applyAlignment="1" applyProtection="1">
      <alignment/>
      <protection locked="0"/>
    </xf>
    <xf numFmtId="0" fontId="26" fillId="0" borderId="34" xfId="0" applyNumberFormat="1" applyFont="1" applyBorder="1" applyAlignment="1" applyProtection="1">
      <alignment horizontal="center"/>
      <protection locked="0"/>
    </xf>
    <xf numFmtId="0" fontId="26" fillId="0" borderId="5" xfId="0" applyNumberFormat="1" applyFont="1" applyBorder="1" applyAlignment="1" applyProtection="1">
      <alignment horizontal="center"/>
      <protection locked="0"/>
    </xf>
    <xf numFmtId="0" fontId="34" fillId="0" borderId="35" xfId="0" applyNumberFormat="1" applyFont="1" applyBorder="1" applyAlignment="1" applyProtection="1">
      <alignment horizontal="center"/>
      <protection locked="0"/>
    </xf>
    <xf numFmtId="0" fontId="26" fillId="0" borderId="35" xfId="0" applyNumberFormat="1" applyFont="1" applyBorder="1" applyAlignment="1" applyProtection="1">
      <alignment horizontal="center"/>
      <protection locked="0"/>
    </xf>
    <xf numFmtId="0" fontId="0" fillId="0" borderId="33" xfId="0" applyNumberFormat="1" applyFont="1" applyBorder="1" applyAlignment="1" applyProtection="1">
      <alignment/>
      <protection locked="0"/>
    </xf>
    <xf numFmtId="0" fontId="26" fillId="0" borderId="5" xfId="0" applyNumberFormat="1" applyFont="1" applyBorder="1" applyAlignment="1" applyProtection="1">
      <alignment/>
      <protection locked="0"/>
    </xf>
    <xf numFmtId="0" fontId="0" fillId="0" borderId="35" xfId="0" applyNumberFormat="1" applyFont="1" applyBorder="1" applyAlignment="1" applyProtection="1">
      <alignment/>
      <protection locked="0"/>
    </xf>
    <xf numFmtId="0" fontId="26" fillId="0" borderId="32" xfId="0" applyNumberFormat="1" applyFont="1" applyBorder="1" applyAlignment="1" applyProtection="1">
      <alignment horizontal="center" wrapText="1"/>
      <protection locked="0"/>
    </xf>
    <xf numFmtId="0" fontId="26" fillId="0" borderId="33" xfId="0" applyNumberFormat="1" applyFont="1" applyBorder="1" applyAlignment="1" applyProtection="1">
      <alignment horizontal="center" wrapText="1"/>
      <protection locked="0"/>
    </xf>
    <xf numFmtId="0" fontId="26" fillId="0" borderId="24" xfId="0" applyNumberFormat="1" applyFont="1" applyBorder="1" applyAlignment="1" applyProtection="1">
      <alignment horizontal="center" wrapText="1"/>
      <protection locked="0"/>
    </xf>
    <xf numFmtId="0" fontId="27" fillId="0" borderId="32" xfId="0" applyNumberFormat="1" applyFont="1" applyBorder="1" applyAlignment="1" applyProtection="1">
      <alignment horizontal="center" wrapText="1"/>
      <protection locked="0"/>
    </xf>
    <xf numFmtId="0" fontId="0" fillId="0" borderId="33" xfId="0" applyNumberFormat="1" applyFont="1" applyBorder="1" applyAlignment="1" applyProtection="1">
      <alignment wrapText="1"/>
      <protection locked="0"/>
    </xf>
    <xf numFmtId="0" fontId="24" fillId="0" borderId="25" xfId="0" applyNumberFormat="1" applyFont="1" applyBorder="1" applyAlignment="1" applyProtection="1">
      <alignment horizontal="center" wrapText="1"/>
      <protection locked="0"/>
    </xf>
    <xf numFmtId="0" fontId="0" fillId="0" borderId="26" xfId="0" applyNumberFormat="1" applyFont="1" applyBorder="1" applyAlignment="1" applyProtection="1">
      <alignment/>
      <protection locked="0"/>
    </xf>
    <xf numFmtId="0" fontId="32" fillId="0" borderId="32" xfId="0" applyNumberFormat="1" applyFont="1" applyBorder="1" applyAlignment="1" applyProtection="1">
      <alignment horizontal="center" wrapText="1"/>
      <protection locked="0"/>
    </xf>
    <xf numFmtId="0" fontId="32" fillId="0" borderId="33" xfId="0" applyNumberFormat="1" applyFont="1" applyBorder="1" applyAlignment="1" applyProtection="1">
      <alignment horizontal="center" wrapText="1"/>
      <protection locked="0"/>
    </xf>
    <xf numFmtId="0" fontId="32" fillId="0" borderId="24" xfId="0" applyNumberFormat="1" applyFont="1" applyBorder="1" applyAlignment="1" applyProtection="1">
      <alignment horizontal="center" wrapText="1"/>
      <protection locked="0"/>
    </xf>
    <xf numFmtId="0" fontId="28" fillId="0" borderId="32" xfId="0" applyNumberFormat="1" applyFont="1" applyBorder="1" applyAlignment="1" applyProtection="1">
      <alignment horizontal="center" wrapText="1"/>
      <protection locked="0"/>
    </xf>
    <xf numFmtId="0" fontId="0" fillId="0" borderId="33" xfId="0" applyNumberFormat="1" applyFont="1" applyBorder="1" applyAlignment="1" applyProtection="1">
      <alignment horizontal="center" wrapText="1"/>
      <protection locked="0"/>
    </xf>
    <xf numFmtId="0" fontId="24" fillId="0" borderId="0" xfId="0" applyNumberFormat="1" applyFont="1" applyBorder="1" applyAlignment="1" applyProtection="1">
      <alignment horizontal="center"/>
      <protection locked="0"/>
    </xf>
    <xf numFmtId="0" fontId="24" fillId="0" borderId="16" xfId="0" applyNumberFormat="1" applyFont="1" applyBorder="1" applyAlignment="1" applyProtection="1">
      <alignment horizontal="center"/>
      <protection locked="0"/>
    </xf>
    <xf numFmtId="0" fontId="24" fillId="0" borderId="32" xfId="0" applyNumberFormat="1" applyFont="1" applyBorder="1" applyAlignment="1" applyProtection="1">
      <alignment horizontal="center" wrapText="1"/>
      <protection locked="0"/>
    </xf>
    <xf numFmtId="0" fontId="24" fillId="0" borderId="33" xfId="0" applyNumberFormat="1" applyFont="1" applyBorder="1" applyAlignment="1" applyProtection="1">
      <alignment horizontal="center" wrapText="1"/>
      <protection locked="0"/>
    </xf>
    <xf numFmtId="0" fontId="24" fillId="0" borderId="24" xfId="0" applyNumberFormat="1" applyFont="1" applyBorder="1" applyAlignment="1" applyProtection="1">
      <alignment horizontal="center" wrapText="1"/>
      <protection locked="0"/>
    </xf>
    <xf numFmtId="0" fontId="24" fillId="0" borderId="0" xfId="0" applyNumberFormat="1" applyFont="1" applyAlignment="1" applyProtection="1">
      <alignment horizontal="center" wrapText="1"/>
      <protection locked="0"/>
    </xf>
    <xf numFmtId="0" fontId="24" fillId="0" borderId="0" xfId="0" applyNumberFormat="1" applyFont="1" applyAlignment="1" applyProtection="1">
      <alignment horizontal="center"/>
      <protection locked="0"/>
    </xf>
    <xf numFmtId="0" fontId="0" fillId="0" borderId="0" xfId="0" applyNumberFormat="1" applyFont="1" applyAlignment="1" applyProtection="1">
      <alignment/>
      <protection locked="0"/>
    </xf>
    <xf numFmtId="0" fontId="0" fillId="0" borderId="32" xfId="0" applyNumberFormat="1" applyFont="1" applyBorder="1" applyAlignment="1" applyProtection="1">
      <alignment horizontal="left"/>
      <protection locked="0"/>
    </xf>
    <xf numFmtId="0" fontId="0" fillId="0" borderId="33" xfId="0" applyNumberFormat="1" applyFont="1" applyBorder="1" applyAlignment="1" applyProtection="1">
      <alignment horizontal="left"/>
      <protection locked="0"/>
    </xf>
    <xf numFmtId="0" fontId="0" fillId="0" borderId="24" xfId="0" applyNumberFormat="1" applyFont="1" applyBorder="1" applyAlignment="1" applyProtection="1">
      <alignment horizontal="left"/>
      <protection locked="0"/>
    </xf>
    <xf numFmtId="0" fontId="0" fillId="0" borderId="0" xfId="0" applyNumberFormat="1" applyFont="1" applyAlignment="1" applyProtection="1">
      <alignment horizontal="center" wrapText="1"/>
      <protection locked="0"/>
    </xf>
    <xf numFmtId="0" fontId="0" fillId="0" borderId="20" xfId="0" applyNumberFormat="1" applyFont="1" applyBorder="1" applyAlignment="1" applyProtection="1">
      <alignment/>
      <protection locked="0"/>
    </xf>
    <xf numFmtId="0" fontId="0" fillId="0" borderId="0" xfId="0" applyNumberFormat="1" applyFont="1" applyBorder="1" applyAlignment="1" applyProtection="1">
      <alignment/>
      <protection locked="0"/>
    </xf>
    <xf numFmtId="0" fontId="0" fillId="0" borderId="0" xfId="0" applyNumberFormat="1" applyFont="1" applyAlignment="1" applyProtection="1">
      <alignment wrapText="1"/>
      <protection locked="0"/>
    </xf>
    <xf numFmtId="0" fontId="0" fillId="0" borderId="16" xfId="0" applyNumberFormat="1" applyFont="1" applyBorder="1" applyAlignment="1" applyProtection="1">
      <alignment wrapText="1"/>
      <protection locked="0"/>
    </xf>
    <xf numFmtId="0" fontId="0" fillId="0" borderId="32" xfId="0" applyNumberFormat="1" applyFont="1" applyFill="1" applyBorder="1" applyAlignment="1" applyProtection="1">
      <alignment horizontal="center" wrapText="1"/>
      <protection locked="0"/>
    </xf>
    <xf numFmtId="0" fontId="0" fillId="0" borderId="24" xfId="0" applyNumberFormat="1" applyFont="1" applyFill="1" applyBorder="1" applyAlignment="1" applyProtection="1">
      <alignment horizontal="center" wrapText="1"/>
      <protection locked="0"/>
    </xf>
    <xf numFmtId="0" fontId="0" fillId="0" borderId="32" xfId="0" applyNumberFormat="1" applyFont="1" applyFill="1" applyBorder="1" applyAlignment="1" applyProtection="1">
      <alignment horizontal="center"/>
      <protection locked="0"/>
    </xf>
    <xf numFmtId="0" fontId="0" fillId="0" borderId="24" xfId="0" applyNumberFormat="1" applyFont="1" applyFill="1" applyBorder="1" applyAlignment="1" applyProtection="1">
      <alignment horizontal="center"/>
      <protection locked="0"/>
    </xf>
  </cellXfs>
  <cellStyles count="14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Note" xfId="39"/>
    <cellStyle name="active" xfId="40"/>
    <cellStyle name="Bad" xfId="41"/>
    <cellStyle name="Calculation" xfId="42"/>
    <cellStyle name="Check Cell" xfId="43"/>
    <cellStyle name="Comma" xfId="44"/>
    <cellStyle name="Comma [0]" xfId="45"/>
    <cellStyle name="Comma 2" xfId="46"/>
    <cellStyle name="Comma 3" xfId="47"/>
    <cellStyle name="Comma 4" xfId="48"/>
    <cellStyle name="Currency" xfId="49"/>
    <cellStyle name="Currency [0]" xfId="50"/>
    <cellStyle name="Currency 2" xfId="51"/>
    <cellStyle name="Currency 3" xfId="52"/>
    <cellStyle name="DisplayPercent" xfId="53"/>
    <cellStyle name="Dollar" xfId="54"/>
    <cellStyle name="Dollar0Decimals" xfId="55"/>
    <cellStyle name="Dollar2Decimals" xfId="56"/>
    <cellStyle name="DriversNumber" xfId="57"/>
    <cellStyle name="DriversPercent" xfId="58"/>
    <cellStyle name="Explanatory Text" xfId="59"/>
    <cellStyle name="Followed Hyperlink" xfId="60"/>
    <cellStyle name="Good" xfId="61"/>
    <cellStyle name="Grey" xfId="62"/>
    <cellStyle name="Header" xfId="63"/>
    <cellStyle name="Header1" xfId="64"/>
    <cellStyle name="Header1 2" xfId="65"/>
    <cellStyle name="Header1 3" xfId="66"/>
    <cellStyle name="Header2" xfId="67"/>
    <cellStyle name="Header2 2" xfId="68"/>
    <cellStyle name="Header2 3" xfId="69"/>
    <cellStyle name="Heading 1" xfId="70"/>
    <cellStyle name="Heading 2" xfId="71"/>
    <cellStyle name="Heading 3" xfId="72"/>
    <cellStyle name="Heading 4" xfId="73"/>
    <cellStyle name="Hyperlink" xfId="74"/>
    <cellStyle name="Input" xfId="75"/>
    <cellStyle name="Input [yellow]" xfId="76"/>
    <cellStyle name="Inputs" xfId="77"/>
    <cellStyle name="ISBSPercentSS" xfId="78"/>
    <cellStyle name="ISBSPercentSSBoldwBorders" xfId="79"/>
    <cellStyle name="Linked Cell" xfId="80"/>
    <cellStyle name="Multiple" xfId="81"/>
    <cellStyle name="Name" xfId="82"/>
    <cellStyle name="Neutral" xfId="83"/>
    <cellStyle name="NewAcct" xfId="84"/>
    <cellStyle name="Normal - Style1" xfId="85"/>
    <cellStyle name="Normal 2" xfId="86"/>
    <cellStyle name="Normal 3" xfId="87"/>
    <cellStyle name="Normal 4" xfId="88"/>
    <cellStyle name="Normal 5" xfId="89"/>
    <cellStyle name="Note" xfId="90"/>
    <cellStyle name="Output" xfId="91"/>
    <cellStyle name="Output Amounts" xfId="92"/>
    <cellStyle name="Output Column Headings" xfId="93"/>
    <cellStyle name="Output Line Items" xfId="94"/>
    <cellStyle name="Output Report Heading" xfId="95"/>
    <cellStyle name="Output Report Title" xfId="96"/>
    <cellStyle name="Percent" xfId="97"/>
    <cellStyle name="Percent [2]" xfId="98"/>
    <cellStyle name="Percent 2" xfId="99"/>
    <cellStyle name="Percent 3" xfId="100"/>
    <cellStyle name="Percent0Decimals" xfId="101"/>
    <cellStyle name="Percent2Decimals" xfId="102"/>
    <cellStyle name="PercentBoldwBorders" xfId="103"/>
    <cellStyle name="PercentBoldwBorders 2" xfId="104"/>
    <cellStyle name="PercentBoldwBorders 3" xfId="105"/>
    <cellStyle name="PercentSS" xfId="106"/>
    <cellStyle name="PercentSS 2" xfId="107"/>
    <cellStyle name="PercentSS 3" xfId="108"/>
    <cellStyle name="PercentSSBoldwBorders" xfId="109"/>
    <cellStyle name="PercentSSBoldwOutBorders" xfId="110"/>
    <cellStyle name="Plain0Decimals" xfId="111"/>
    <cellStyle name="Plain1Decimals" xfId="112"/>
    <cellStyle name="Plain2Decimals" xfId="113"/>
    <cellStyle name="Plain3Decimals" xfId="114"/>
    <cellStyle name="Plain4Decimals" xfId="115"/>
    <cellStyle name="PlainDollar" xfId="116"/>
    <cellStyle name="PlainDollarBoldwBorders" xfId="117"/>
    <cellStyle name="PlainDollarBoldwBorders 2" xfId="118"/>
    <cellStyle name="PlainDollarBoldwBorders 3" xfId="119"/>
    <cellStyle name="PlainDollarBoldwOutBorders" xfId="120"/>
    <cellStyle name="PlainDollarBoldwOutBorders 2" xfId="121"/>
    <cellStyle name="PlainDollarBoldwOutBorders 3" xfId="122"/>
    <cellStyle name="PlainDollardBLUndLine" xfId="123"/>
    <cellStyle name="PlainDollarSS" xfId="124"/>
    <cellStyle name="PlainDollarSSwBorders" xfId="125"/>
    <cellStyle name="PlainDollarUndLine" xfId="126"/>
    <cellStyle name="PlainPercent" xfId="127"/>
    <cellStyle name="PSChar" xfId="128"/>
    <cellStyle name="ScratchPad" xfId="129"/>
    <cellStyle name="SSComma0" xfId="130"/>
    <cellStyle name="SSComma0 2" xfId="131"/>
    <cellStyle name="SSComma0 3" xfId="132"/>
    <cellStyle name="SSComma2" xfId="133"/>
    <cellStyle name="SSComma2 2" xfId="134"/>
    <cellStyle name="SSComma2 3" xfId="135"/>
    <cellStyle name="SSDecs3" xfId="136"/>
    <cellStyle name="SSDecs3 2" xfId="137"/>
    <cellStyle name="SSDecs3 3" xfId="138"/>
    <cellStyle name="SSDflt" xfId="139"/>
    <cellStyle name="SSDflt 2" xfId="140"/>
    <cellStyle name="SSDflt 3" xfId="141"/>
    <cellStyle name="SSDfltPct" xfId="142"/>
    <cellStyle name="SSDfltPct 2" xfId="143"/>
    <cellStyle name="SSDfltPct 3" xfId="144"/>
    <cellStyle name="SSDfltPct0" xfId="145"/>
    <cellStyle name="SSDfltPct0 2" xfId="146"/>
    <cellStyle name="SSDfltPct0 3" xfId="147"/>
    <cellStyle name="SSFixed2" xfId="148"/>
    <cellStyle name="SSFixed2 2" xfId="149"/>
    <cellStyle name="SSFixed2 3" xfId="150"/>
    <cellStyle name="Text" xfId="151"/>
    <cellStyle name="Title" xfId="152"/>
    <cellStyle name="Total" xfId="153"/>
    <cellStyle name="Warning Text" xfId="154"/>
  </cellStyles>
  <dxfs count="19">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O125"/>
  <sheetViews>
    <sheetView tabSelected="1" zoomScale="85" zoomScaleNormal="85"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H5" sqref="H5"/>
    </sheetView>
  </sheetViews>
  <sheetFormatPr defaultColWidth="8.88671875" defaultRowHeight="15"/>
  <cols>
    <col min="1" max="1" width="10.10546875" style="0" bestFit="1" customWidth="1"/>
    <col min="2" max="2" width="9.4453125" style="0" bestFit="1" customWidth="1"/>
    <col min="3" max="3" width="13.5546875" style="0" bestFit="1" customWidth="1"/>
    <col min="4" max="4" width="11.99609375" style="0" bestFit="1" customWidth="1"/>
    <col min="5" max="5" width="9.88671875" style="0" customWidth="1"/>
    <col min="6" max="6" width="1.5625" style="0" customWidth="1"/>
    <col min="7" max="7" width="9.6640625" style="0" bestFit="1" customWidth="1"/>
    <col min="8" max="8" width="10.21484375" style="0" bestFit="1" customWidth="1"/>
    <col min="9" max="9" width="10.99609375" style="0" bestFit="1" customWidth="1"/>
    <col min="10" max="10" width="9.99609375" style="0" bestFit="1" customWidth="1"/>
    <col min="11" max="11" width="4.4453125" style="0" bestFit="1" customWidth="1"/>
    <col min="12" max="12" width="10.6640625" style="0" bestFit="1" customWidth="1"/>
    <col min="13" max="13" width="11.4453125" style="0" bestFit="1" customWidth="1"/>
    <col min="14" max="14" width="10.88671875" style="0" bestFit="1" customWidth="1"/>
    <col min="15" max="15" width="11.21484375" style="0" bestFit="1" customWidth="1"/>
    <col min="16" max="16" width="8.99609375" style="0" bestFit="1" customWidth="1"/>
    <col min="17" max="18" width="9.99609375" style="0" bestFit="1" customWidth="1"/>
    <col min="19" max="19" width="8.5546875" style="0" bestFit="1" customWidth="1"/>
    <col min="20" max="20" width="11.4453125" style="0" bestFit="1" customWidth="1"/>
    <col min="21" max="21" width="11.77734375" style="0" customWidth="1"/>
    <col min="22" max="22" width="12.4453125" style="0" bestFit="1" customWidth="1"/>
    <col min="23" max="23" width="11.88671875" style="0" customWidth="1"/>
    <col min="24" max="24" width="9.88671875" style="0" bestFit="1" customWidth="1"/>
    <col min="25" max="25" width="11.88671875" style="0" bestFit="1" customWidth="1"/>
    <col min="26" max="26" width="9.4453125" style="0" bestFit="1" customWidth="1"/>
    <col min="27" max="27" width="9.99609375" style="0" bestFit="1" customWidth="1"/>
    <col min="28" max="28" width="10.5546875" style="0" customWidth="1"/>
    <col min="29" max="29" width="9.99609375" style="0" bestFit="1" customWidth="1"/>
    <col min="31" max="32" width="10.88671875" style="0" bestFit="1" customWidth="1"/>
    <col min="33" max="33" width="9.88671875" style="0" bestFit="1" customWidth="1"/>
    <col min="34" max="34" width="9.88671875" style="0" customWidth="1"/>
    <col min="35" max="35" width="10.5546875" style="0" bestFit="1" customWidth="1"/>
    <col min="36" max="36" width="11.21484375" style="0" customWidth="1"/>
    <col min="37" max="37" width="9.88671875" style="0" customWidth="1"/>
    <col min="38" max="38" width="10.3359375" style="0" bestFit="1" customWidth="1"/>
    <col min="39" max="39" width="8.21484375" style="0" customWidth="1"/>
    <col min="40" max="40" width="11.88671875" style="0" bestFit="1" customWidth="1"/>
    <col min="41" max="41" width="10.5546875" style="0" customWidth="1"/>
    <col min="42" max="42" width="7.10546875" style="0" customWidth="1"/>
  </cols>
  <sheetData>
    <row r="1" ht="15">
      <c r="A1" t="s">
        <v>3</v>
      </c>
    </row>
    <row r="2" spans="2:41" ht="23.25">
      <c r="B2" s="256" t="s">
        <v>167</v>
      </c>
      <c r="C2" s="257"/>
      <c r="D2" s="257"/>
      <c r="E2" s="258"/>
      <c r="F2" s="109"/>
      <c r="G2" s="259" t="s">
        <v>176</v>
      </c>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1"/>
    </row>
    <row r="3" spans="2:41" ht="18">
      <c r="B3" s="12"/>
      <c r="C3" s="13"/>
      <c r="D3" s="13"/>
      <c r="E3" s="14"/>
      <c r="F3" s="13"/>
      <c r="G3" s="264" t="s">
        <v>50</v>
      </c>
      <c r="H3" s="271"/>
      <c r="I3" s="271"/>
      <c r="J3" s="272"/>
      <c r="K3" s="278" t="s">
        <v>42</v>
      </c>
      <c r="L3" s="283"/>
      <c r="M3" s="283"/>
      <c r="N3" s="283"/>
      <c r="O3" s="284"/>
      <c r="P3" s="278" t="s">
        <v>82</v>
      </c>
      <c r="Q3" s="279"/>
      <c r="R3" s="279"/>
      <c r="S3" s="279"/>
      <c r="T3" s="279"/>
      <c r="U3" s="279"/>
      <c r="V3" s="279"/>
      <c r="W3" s="279"/>
      <c r="X3" s="279"/>
      <c r="Y3" s="279"/>
      <c r="Z3" s="280"/>
      <c r="AA3" s="278" t="s">
        <v>133</v>
      </c>
      <c r="AB3" s="279"/>
      <c r="AC3" s="279"/>
      <c r="AD3" s="279"/>
      <c r="AE3" s="279"/>
      <c r="AF3" s="279"/>
      <c r="AG3" s="281"/>
      <c r="AH3" s="274" t="s">
        <v>236</v>
      </c>
      <c r="AI3" s="275"/>
      <c r="AJ3" s="275"/>
      <c r="AK3" s="275"/>
      <c r="AL3" s="275"/>
      <c r="AM3" s="276"/>
      <c r="AN3" s="264" t="s">
        <v>174</v>
      </c>
      <c r="AO3" s="265"/>
    </row>
    <row r="4" spans="2:41" ht="30" customHeight="1">
      <c r="B4" s="273" t="s">
        <v>71</v>
      </c>
      <c r="C4" s="268"/>
      <c r="D4" s="268" t="s">
        <v>30</v>
      </c>
      <c r="E4" s="269"/>
      <c r="F4" s="66"/>
      <c r="G4" s="270" t="s">
        <v>71</v>
      </c>
      <c r="H4" s="266"/>
      <c r="I4" s="266" t="s">
        <v>30</v>
      </c>
      <c r="J4" s="267"/>
      <c r="K4" s="270" t="s">
        <v>71</v>
      </c>
      <c r="L4" s="282"/>
      <c r="M4" s="282"/>
      <c r="N4" s="266" t="s">
        <v>30</v>
      </c>
      <c r="O4" s="267"/>
      <c r="P4" s="270" t="s">
        <v>214</v>
      </c>
      <c r="Q4" s="266"/>
      <c r="R4" s="267"/>
      <c r="S4" s="266" t="s">
        <v>215</v>
      </c>
      <c r="T4" s="267"/>
      <c r="U4" s="270" t="s">
        <v>30</v>
      </c>
      <c r="V4" s="266"/>
      <c r="W4" s="266"/>
      <c r="X4" s="266"/>
      <c r="Y4" s="266"/>
      <c r="Z4" s="277"/>
      <c r="AA4" s="270" t="s">
        <v>216</v>
      </c>
      <c r="AB4" s="266"/>
      <c r="AC4" s="267"/>
      <c r="AD4" s="270" t="s">
        <v>30</v>
      </c>
      <c r="AE4" s="266"/>
      <c r="AF4" s="266"/>
      <c r="AG4" s="267"/>
      <c r="AH4" s="262" t="s">
        <v>237</v>
      </c>
      <c r="AI4" s="263"/>
      <c r="AJ4" s="262" t="s">
        <v>274</v>
      </c>
      <c r="AK4" s="263"/>
      <c r="AL4" s="181"/>
      <c r="AM4" s="181"/>
      <c r="AN4" s="105" t="s">
        <v>175</v>
      </c>
      <c r="AO4" s="46" t="s">
        <v>166</v>
      </c>
    </row>
    <row r="5" spans="2:41" ht="60">
      <c r="B5" s="12" t="s">
        <v>26</v>
      </c>
      <c r="C5" s="13" t="s">
        <v>207</v>
      </c>
      <c r="D5" s="13" t="s">
        <v>163</v>
      </c>
      <c r="E5" s="14" t="s">
        <v>166</v>
      </c>
      <c r="F5" s="13"/>
      <c r="G5" s="12" t="s">
        <v>26</v>
      </c>
      <c r="H5" s="13" t="s">
        <v>207</v>
      </c>
      <c r="I5" s="13" t="s">
        <v>163</v>
      </c>
      <c r="J5" s="14" t="s">
        <v>166</v>
      </c>
      <c r="K5" s="12" t="s">
        <v>168</v>
      </c>
      <c r="L5" s="13" t="s">
        <v>128</v>
      </c>
      <c r="M5" s="13" t="s">
        <v>207</v>
      </c>
      <c r="N5" s="13" t="s">
        <v>163</v>
      </c>
      <c r="O5" s="14" t="s">
        <v>166</v>
      </c>
      <c r="P5" s="69" t="s">
        <v>170</v>
      </c>
      <c r="Q5" s="13" t="s">
        <v>47</v>
      </c>
      <c r="R5" s="14" t="s">
        <v>43</v>
      </c>
      <c r="S5" s="13" t="s">
        <v>43</v>
      </c>
      <c r="T5" s="14" t="s">
        <v>117</v>
      </c>
      <c r="U5" s="12" t="s">
        <v>169</v>
      </c>
      <c r="V5" s="13" t="s">
        <v>47</v>
      </c>
      <c r="W5" s="13" t="s">
        <v>172</v>
      </c>
      <c r="X5" s="53" t="s">
        <v>171</v>
      </c>
      <c r="Y5" s="13" t="s">
        <v>43</v>
      </c>
      <c r="Z5" s="14" t="s">
        <v>166</v>
      </c>
      <c r="AA5" s="12" t="s">
        <v>51</v>
      </c>
      <c r="AB5" s="53" t="s">
        <v>158</v>
      </c>
      <c r="AC5" s="14" t="s">
        <v>48</v>
      </c>
      <c r="AD5" s="24" t="s">
        <v>169</v>
      </c>
      <c r="AE5" s="25" t="s">
        <v>173</v>
      </c>
      <c r="AF5" s="25" t="s">
        <v>43</v>
      </c>
      <c r="AG5" s="26" t="s">
        <v>166</v>
      </c>
      <c r="AH5" s="192" t="s">
        <v>257</v>
      </c>
      <c r="AI5" s="193" t="s">
        <v>235</v>
      </c>
      <c r="AJ5" s="192" t="s">
        <v>247</v>
      </c>
      <c r="AK5" s="171" t="s">
        <v>234</v>
      </c>
      <c r="AL5" s="67" t="s">
        <v>174</v>
      </c>
      <c r="AM5" s="67" t="s">
        <v>166</v>
      </c>
      <c r="AN5" s="12"/>
      <c r="AO5" s="14"/>
    </row>
    <row r="6" spans="2:41" ht="15">
      <c r="B6" s="12"/>
      <c r="C6" s="13"/>
      <c r="D6" s="13"/>
      <c r="E6" s="14"/>
      <c r="F6" s="13"/>
      <c r="G6" s="12"/>
      <c r="H6" s="13"/>
      <c r="I6" s="13"/>
      <c r="J6" s="14"/>
      <c r="K6" s="12"/>
      <c r="L6" s="13"/>
      <c r="M6" s="13"/>
      <c r="N6" s="13"/>
      <c r="O6" s="14"/>
      <c r="P6" s="12"/>
      <c r="Q6" s="13"/>
      <c r="R6" s="14"/>
      <c r="S6" s="13"/>
      <c r="T6" s="13"/>
      <c r="U6" s="12"/>
      <c r="V6" s="13"/>
      <c r="W6" s="13"/>
      <c r="X6" s="53"/>
      <c r="Y6" s="13"/>
      <c r="Z6" s="14"/>
      <c r="AA6" s="12"/>
      <c r="AB6" s="13"/>
      <c r="AC6" s="14"/>
      <c r="AD6" s="12"/>
      <c r="AE6" s="13"/>
      <c r="AF6" s="13"/>
      <c r="AG6" s="14"/>
      <c r="AH6" s="12"/>
      <c r="AI6" s="14"/>
      <c r="AJ6" s="12"/>
      <c r="AK6" s="14"/>
      <c r="AL6" s="13"/>
      <c r="AM6" s="13"/>
      <c r="AN6" s="12"/>
      <c r="AO6" s="14"/>
    </row>
    <row r="7" spans="1:41" ht="15">
      <c r="A7" t="s">
        <v>4</v>
      </c>
      <c r="B7" s="12">
        <f>'Bundled Service'!AM11</f>
        <v>429</v>
      </c>
      <c r="C7" s="18">
        <f>'Bundled Service'!AN11/1000</f>
        <v>7264.677482732512</v>
      </c>
      <c r="D7" s="43">
        <f>'Bundled Service'!AP11</f>
        <v>802131.590355146</v>
      </c>
      <c r="E7" s="23">
        <f>'Bundled Service'!AQ11</f>
        <v>11.041530642781334</v>
      </c>
      <c r="F7" s="38"/>
      <c r="G7" s="97">
        <f>'RtR Market DT'!AM11</f>
        <v>429</v>
      </c>
      <c r="H7" s="18">
        <f>'RtR Market DT'!AN11/1000</f>
        <v>7264.677482732512</v>
      </c>
      <c r="I7" s="43">
        <f>'RtR Market DT'!AP11</f>
        <v>67182.92975800435</v>
      </c>
      <c r="J7" s="99">
        <f>I7/H7/10</f>
        <v>0.9247888831636665</v>
      </c>
      <c r="K7" s="97">
        <v>1</v>
      </c>
      <c r="L7" s="30">
        <f>'RtR Market OATT'!D42</f>
        <v>13.16533055700988</v>
      </c>
      <c r="M7" s="18">
        <f>'RtR Market OATT'!C42</f>
        <v>7458.64570818323</v>
      </c>
      <c r="N7" s="43">
        <f>'RtR Market OATT'!I42</f>
        <v>94142.66314425024</v>
      </c>
      <c r="O7" s="219">
        <f>N7/M7/10</f>
        <v>1.262195133373367</v>
      </c>
      <c r="P7" s="97">
        <f>'RtR Market EBS '!C63</f>
        <v>5627</v>
      </c>
      <c r="Q7" s="18">
        <f>'RtR Market EBS '!D63</f>
        <v>1831.6457081832305</v>
      </c>
      <c r="R7" s="29">
        <f>P7+Q7</f>
        <v>7458.64570818323</v>
      </c>
      <c r="S7" s="22">
        <f>'RtR Market EBS '!F63</f>
        <v>7175.635091831073</v>
      </c>
      <c r="T7" s="29">
        <f>'RtR Market EBS '!G63</f>
        <v>5343.989383647842</v>
      </c>
      <c r="U7" s="54">
        <f>'RtR Market EBS '!B83</f>
        <v>1053.03</v>
      </c>
      <c r="V7" s="43">
        <f>'RtR Market EBS '!C83</f>
        <v>182413.59607796793</v>
      </c>
      <c r="W7" s="43">
        <f>'RtR Market EBS '!D83</f>
        <v>-378155.9693394975</v>
      </c>
      <c r="X7" s="43"/>
      <c r="Y7" s="43">
        <f>U7+V7+W7+X7</f>
        <v>-194689.34326152958</v>
      </c>
      <c r="Z7" s="219">
        <f>Y7/R7/10</f>
        <v>-2.6102505854102542</v>
      </c>
      <c r="AA7" s="97">
        <f>'RtR Market SS'!C70</f>
        <v>11543.451868313032</v>
      </c>
      <c r="AB7" s="18">
        <f>'RtR Market SS'!D70</f>
        <v>6384.695606830923</v>
      </c>
      <c r="AC7" s="29">
        <f>AA7-AB7</f>
        <v>5158.756261482109</v>
      </c>
      <c r="AD7" s="54">
        <f>'RtR Market SS'!B70</f>
        <v>1053.03</v>
      </c>
      <c r="AE7" s="43">
        <f>'RtR Market SS'!F70</f>
        <v>27702.521124158928</v>
      </c>
      <c r="AF7" s="43">
        <f>AD7+AE7</f>
        <v>28755.551124158927</v>
      </c>
      <c r="AG7" s="226">
        <f>AF7/R7/10</f>
        <v>0.38553314166149305</v>
      </c>
      <c r="AH7" s="97">
        <f>'RtR Market RTT'!B16</f>
        <v>5627</v>
      </c>
      <c r="AI7" s="19">
        <f>'RtR Market RTT'!C16</f>
        <v>186197.43000000002</v>
      </c>
      <c r="AJ7" s="189">
        <f>'RtR Market RTT'!D16</f>
        <v>6.384695606830923</v>
      </c>
      <c r="AK7" s="19">
        <f>'RtR Market RTT'!E16</f>
        <v>34285.81540868206</v>
      </c>
      <c r="AL7" s="43">
        <f>AI7+AK7</f>
        <v>220483.2454086821</v>
      </c>
      <c r="AM7" s="182">
        <f>AL7/R7/10</f>
        <v>2.956076130104686</v>
      </c>
      <c r="AN7" s="54">
        <f>I7+N7+Y7+AF7+AL7</f>
        <v>215875.04617356605</v>
      </c>
      <c r="AO7" s="99">
        <f aca="true" t="shared" si="0" ref="AO7:AO19">AN7/M7/10</f>
        <v>2.894292806222441</v>
      </c>
    </row>
    <row r="8" spans="1:41" ht="15">
      <c r="A8" t="s">
        <v>5</v>
      </c>
      <c r="B8" s="12">
        <f>'Bundled Service'!AM12</f>
        <v>678</v>
      </c>
      <c r="C8" s="18">
        <f>'Bundled Service'!AN12/1000</f>
        <v>7026.977474755107</v>
      </c>
      <c r="D8" s="43">
        <f>'Bundled Service'!AP12</f>
        <v>805268.1655396926</v>
      </c>
      <c r="E8" s="23">
        <f>'Bundled Service'!AQ12</f>
        <v>11.459666242458768</v>
      </c>
      <c r="F8" s="38"/>
      <c r="G8" s="97">
        <f>'RtR Market DT'!AM12</f>
        <v>678</v>
      </c>
      <c r="H8" s="18">
        <f>'RtR Market DT'!AN12/1000</f>
        <v>7026.977474755107</v>
      </c>
      <c r="I8" s="43">
        <f>'RtR Market DT'!AP12</f>
        <v>76289.75158369516</v>
      </c>
      <c r="J8" s="99">
        <f aca="true" t="shared" si="1" ref="J8:J19">I8/H8/10</f>
        <v>1.0856695052427772</v>
      </c>
      <c r="K8" s="97">
        <v>1</v>
      </c>
      <c r="L8" s="30">
        <f>'RtR Market OATT'!D43</f>
        <v>14.232780914672357</v>
      </c>
      <c r="M8" s="18">
        <f>'RtR Market OATT'!C43</f>
        <v>7238.40470189902</v>
      </c>
      <c r="N8" s="43">
        <f>'RtR Market OATT'!I43</f>
        <v>95786.06416247596</v>
      </c>
      <c r="O8" s="219">
        <f aca="true" t="shared" si="2" ref="O8:O19">N8/M8/10</f>
        <v>1.323303519314776</v>
      </c>
      <c r="P8" s="97">
        <f>'RtR Market EBS '!C64</f>
        <v>4931</v>
      </c>
      <c r="Q8" s="18">
        <f>'RtR Market EBS '!D64</f>
        <v>2307.4047018990204</v>
      </c>
      <c r="R8" s="29">
        <f aca="true" t="shared" si="3" ref="R8:R18">P8+Q8</f>
        <v>7238.40470189902</v>
      </c>
      <c r="S8" s="22">
        <f>'RtR Market EBS '!F64</f>
        <v>4124.698057778754</v>
      </c>
      <c r="T8" s="29">
        <f>'RtR Market EBS '!G64</f>
        <v>1817.293355879734</v>
      </c>
      <c r="U8" s="54">
        <f>'RtR Market EBS '!B84</f>
        <v>1053.03</v>
      </c>
      <c r="V8" s="43">
        <f>'RtR Market EBS '!C84</f>
        <v>229794.43426212342</v>
      </c>
      <c r="W8" s="43">
        <f>'RtR Market EBS '!D84</f>
        <v>-217371.58764494033</v>
      </c>
      <c r="X8" s="13"/>
      <c r="Y8" s="43">
        <f aca="true" t="shared" si="4" ref="Y8:Y18">U8+V8+W8+X8</f>
        <v>13475.876617183094</v>
      </c>
      <c r="Z8" s="219">
        <f aca="true" t="shared" si="5" ref="Z8:Z19">Y8/R8/10</f>
        <v>0.1861719145607823</v>
      </c>
      <c r="AA8" s="97">
        <f>'RtR Market SS'!C71</f>
        <v>12534.255981459457</v>
      </c>
      <c r="AB8" s="18">
        <f>'RtR Market SS'!D71</f>
        <v>6384.695606830923</v>
      </c>
      <c r="AC8" s="29">
        <f aca="true" t="shared" si="6" ref="AC8:AC18">AA8-AB8</f>
        <v>6149.560374628534</v>
      </c>
      <c r="AD8" s="54">
        <f>'RtR Market SS'!B71</f>
        <v>1053.03</v>
      </c>
      <c r="AE8" s="43">
        <f>'RtR Market SS'!F71</f>
        <v>33023.13921175523</v>
      </c>
      <c r="AF8" s="43">
        <f aca="true" t="shared" si="7" ref="AF8:AF19">AD8+AE8</f>
        <v>34076.16921175523</v>
      </c>
      <c r="AG8" s="226">
        <f aca="true" t="shared" si="8" ref="AG8:AG19">AF8/R8/10</f>
        <v>0.4707690522307385</v>
      </c>
      <c r="AH8" s="97">
        <f>'RtR Market RTT'!B17</f>
        <v>4931</v>
      </c>
      <c r="AI8" s="19">
        <f>'RtR Market RTT'!C17</f>
        <v>163166.79</v>
      </c>
      <c r="AJ8" s="189">
        <f>'RtR Market RTT'!D17</f>
        <v>6.384695606830923</v>
      </c>
      <c r="AK8" s="19">
        <f>'RtR Market RTT'!E17</f>
        <v>34285.81540868206</v>
      </c>
      <c r="AL8" s="43">
        <f aca="true" t="shared" si="9" ref="AL8:AL18">AI8+AK8</f>
        <v>197452.60540868208</v>
      </c>
      <c r="AM8" s="182">
        <f aca="true" t="shared" si="10" ref="AM8:AM19">AL8/R8/10</f>
        <v>2.727846998619457</v>
      </c>
      <c r="AN8" s="54">
        <f aca="true" t="shared" si="11" ref="AN8:AN18">I8+N8+Y8+AF8+AL8</f>
        <v>417080.4669837915</v>
      </c>
      <c r="AO8" s="99">
        <f t="shared" si="0"/>
        <v>5.762049569767341</v>
      </c>
    </row>
    <row r="9" spans="1:41" ht="15">
      <c r="A9" t="s">
        <v>6</v>
      </c>
      <c r="B9" s="12">
        <f>'Bundled Service'!AM13</f>
        <v>969</v>
      </c>
      <c r="C9" s="18">
        <f>'Bundled Service'!AN13/1000</f>
        <v>8062.329689421413</v>
      </c>
      <c r="D9" s="43">
        <f>'Bundled Service'!AP13</f>
        <v>908900.4674673246</v>
      </c>
      <c r="E9" s="23">
        <f>'Bundled Service'!AQ13</f>
        <v>11.273422230052107</v>
      </c>
      <c r="F9" s="38"/>
      <c r="G9" s="97">
        <f>'RtR Market DT'!AM13</f>
        <v>969</v>
      </c>
      <c r="H9" s="18">
        <f>'RtR Market DT'!AN13/1000</f>
        <v>8062.329689421413</v>
      </c>
      <c r="I9" s="43">
        <f>'RtR Market DT'!AP13</f>
        <v>88295.07293246279</v>
      </c>
      <c r="J9" s="99">
        <f t="shared" si="1"/>
        <v>1.0951558213789596</v>
      </c>
      <c r="K9" s="97">
        <v>1</v>
      </c>
      <c r="L9" s="30">
        <f>'RtR Market OATT'!D44</f>
        <v>14.746023749491787</v>
      </c>
      <c r="M9" s="18">
        <f>'RtR Market OATT'!C44</f>
        <v>8340.931171045928</v>
      </c>
      <c r="N9" s="43">
        <f>'RtR Market OATT'!I44</f>
        <v>100538.57459479544</v>
      </c>
      <c r="O9" s="219">
        <f t="shared" si="2"/>
        <v>1.2053639160073324</v>
      </c>
      <c r="P9" s="97">
        <f>'RtR Market EBS '!C65</f>
        <v>5294.65661028828</v>
      </c>
      <c r="Q9" s="18">
        <f>'RtR Market EBS '!D65</f>
        <v>3046.274560757648</v>
      </c>
      <c r="R9" s="29">
        <f t="shared" si="3"/>
        <v>8340.931171045928</v>
      </c>
      <c r="S9" s="22">
        <f>'RtR Market EBS '!F65</f>
        <v>4200.668576966603</v>
      </c>
      <c r="T9" s="29">
        <f>'RtR Market EBS '!G65</f>
        <v>1154.3940162089548</v>
      </c>
      <c r="U9" s="54">
        <f>'RtR Market EBS '!B85</f>
        <v>1053.03</v>
      </c>
      <c r="V9" s="43">
        <f>'RtR Market EBS '!C85</f>
        <v>303378.48350585415</v>
      </c>
      <c r="W9" s="43">
        <f>'RtR Market EBS '!D85</f>
        <v>-221375.23400613994</v>
      </c>
      <c r="X9" s="13"/>
      <c r="Y9" s="43">
        <f t="shared" si="4"/>
        <v>83056.27949971423</v>
      </c>
      <c r="Z9" s="219">
        <f t="shared" si="5"/>
        <v>0.995767472437963</v>
      </c>
      <c r="AA9" s="97">
        <f>'RtR Market SS'!C72</f>
        <v>14608.397770094893</v>
      </c>
      <c r="AB9" s="18">
        <f>'RtR Market SS'!D72</f>
        <v>6384.695606830923</v>
      </c>
      <c r="AC9" s="29">
        <f t="shared" si="6"/>
        <v>8223.70216326397</v>
      </c>
      <c r="AD9" s="54">
        <f>'RtR Market SS'!B72</f>
        <v>1053.03</v>
      </c>
      <c r="AE9" s="43">
        <f>'RtR Market SS'!F72</f>
        <v>44161.28061672752</v>
      </c>
      <c r="AF9" s="43">
        <f t="shared" si="7"/>
        <v>45214.31061672752</v>
      </c>
      <c r="AG9" s="226">
        <f t="shared" si="8"/>
        <v>0.5420774933820461</v>
      </c>
      <c r="AH9" s="97">
        <f>'RtR Market RTT'!B18</f>
        <v>5294.65661028828</v>
      </c>
      <c r="AI9" s="19">
        <f>'RtR Market RTT'!C18</f>
        <v>175200.1872344392</v>
      </c>
      <c r="AJ9" s="189">
        <f>'RtR Market RTT'!D18</f>
        <v>6.384695606830923</v>
      </c>
      <c r="AK9" s="19">
        <f>'RtR Market RTT'!E18</f>
        <v>34285.81540868206</v>
      </c>
      <c r="AL9" s="43">
        <f t="shared" si="9"/>
        <v>209486.00264312123</v>
      </c>
      <c r="AM9" s="182">
        <f t="shared" si="10"/>
        <v>2.5115421569514322</v>
      </c>
      <c r="AN9" s="54">
        <f t="shared" si="11"/>
        <v>526590.2402868213</v>
      </c>
      <c r="AO9" s="99">
        <f t="shared" si="0"/>
        <v>6.31332676757706</v>
      </c>
    </row>
    <row r="10" spans="1:41" ht="15">
      <c r="A10" t="s">
        <v>7</v>
      </c>
      <c r="B10" s="12">
        <f>'Bundled Service'!AM14</f>
        <v>1199</v>
      </c>
      <c r="C10" s="18">
        <f>'Bundled Service'!AN14/1000</f>
        <v>8058.207467602405</v>
      </c>
      <c r="D10" s="43">
        <f>'Bundled Service'!AP14</f>
        <v>922884.0680077993</v>
      </c>
      <c r="E10" s="23">
        <f>'Bundled Service'!AQ14</f>
        <v>11.45272160983948</v>
      </c>
      <c r="F10" s="38"/>
      <c r="G10" s="97">
        <f>'RtR Market DT'!AM14</f>
        <v>1199</v>
      </c>
      <c r="H10" s="18">
        <f>'RtR Market DT'!AN14/1000</f>
        <v>8058.207467602405</v>
      </c>
      <c r="I10" s="43">
        <f>'RtR Market DT'!AP14</f>
        <v>93798.54325463761</v>
      </c>
      <c r="J10" s="99">
        <f t="shared" si="1"/>
        <v>1.1640125131023205</v>
      </c>
      <c r="K10" s="97">
        <v>1</v>
      </c>
      <c r="L10" s="30">
        <f>'RtR Market OATT'!D45</f>
        <v>15.534626139647965</v>
      </c>
      <c r="M10" s="18">
        <f>'RtR Market OATT'!C45</f>
        <v>8294.449048104914</v>
      </c>
      <c r="N10" s="43">
        <f>'RtR Market OATT'!I45</f>
        <v>107985.10315390366</v>
      </c>
      <c r="O10" s="219">
        <f t="shared" si="2"/>
        <v>1.3018960334511394</v>
      </c>
      <c r="P10" s="97">
        <f>'RtR Market EBS '!C66</f>
        <v>4939</v>
      </c>
      <c r="Q10" s="18">
        <f>'RtR Market EBS '!D66</f>
        <v>3355.4490481049143</v>
      </c>
      <c r="R10" s="29">
        <f t="shared" si="3"/>
        <v>8294.449048104914</v>
      </c>
      <c r="S10" s="22">
        <f>'RtR Market EBS '!F66</f>
        <v>4671.4616311137</v>
      </c>
      <c r="T10" s="29">
        <f>'RtR Market EBS '!G66</f>
        <v>1316.0125830087854</v>
      </c>
      <c r="U10" s="54">
        <f>'RtR Market EBS '!B86</f>
        <v>1053.03</v>
      </c>
      <c r="V10" s="43">
        <f>'RtR Market EBS '!C86</f>
        <v>334169.17070076836</v>
      </c>
      <c r="W10" s="43">
        <f>'RtR Market EBS '!D86</f>
        <v>-246186.02795969197</v>
      </c>
      <c r="X10" s="13"/>
      <c r="Y10" s="43">
        <f t="shared" si="4"/>
        <v>89036.17274107641</v>
      </c>
      <c r="Z10" s="219">
        <f t="shared" si="5"/>
        <v>1.073442879987539</v>
      </c>
      <c r="AA10" s="97">
        <f>'RtR Market SS'!C73</f>
        <v>14778.125885902577</v>
      </c>
      <c r="AB10" s="18">
        <f>'RtR Market SS'!D73</f>
        <v>6384.695606830923</v>
      </c>
      <c r="AC10" s="29">
        <f t="shared" si="6"/>
        <v>8393.430279071654</v>
      </c>
      <c r="AD10" s="54">
        <f>'RtR Market SS'!B73</f>
        <v>1053.03</v>
      </c>
      <c r="AE10" s="43">
        <f>'RtR Market SS'!F73</f>
        <v>45072.72059861478</v>
      </c>
      <c r="AF10" s="43">
        <f t="shared" si="7"/>
        <v>46125.75059861478</v>
      </c>
      <c r="AG10" s="226">
        <f t="shared" si="8"/>
        <v>0.5561038512757327</v>
      </c>
      <c r="AH10" s="97">
        <f>'RtR Market RTT'!B19</f>
        <v>4939</v>
      </c>
      <c r="AI10" s="19">
        <f>'RtR Market RTT'!C19</f>
        <v>163431.51</v>
      </c>
      <c r="AJ10" s="189">
        <f>'RtR Market RTT'!D19</f>
        <v>6.384695606830923</v>
      </c>
      <c r="AK10" s="19">
        <f>'RtR Market RTT'!E19</f>
        <v>34285.81540868206</v>
      </c>
      <c r="AL10" s="43">
        <f t="shared" si="9"/>
        <v>197717.32540868205</v>
      </c>
      <c r="AM10" s="182">
        <f t="shared" si="10"/>
        <v>2.3837306644719916</v>
      </c>
      <c r="AN10" s="54">
        <f t="shared" si="11"/>
        <v>534662.8951569146</v>
      </c>
      <c r="AO10" s="99">
        <f t="shared" si="0"/>
        <v>6.446032666619038</v>
      </c>
    </row>
    <row r="11" spans="1:41" ht="15">
      <c r="A11" t="s">
        <v>8</v>
      </c>
      <c r="B11" s="12">
        <f>'Bundled Service'!AM15</f>
        <v>1411</v>
      </c>
      <c r="C11" s="18">
        <f>'Bundled Service'!AN15/1000</f>
        <v>8596.728577393878</v>
      </c>
      <c r="D11" s="43">
        <f>'Bundled Service'!AP15</f>
        <v>969657.9780123672</v>
      </c>
      <c r="E11" s="23">
        <f>'Bundled Service'!AQ15</f>
        <v>11.27938342222643</v>
      </c>
      <c r="F11" s="38"/>
      <c r="G11" s="97">
        <f>'RtR Market DT'!AM15</f>
        <v>1411</v>
      </c>
      <c r="H11" s="18">
        <f>'RtR Market DT'!AN15/1000</f>
        <v>8596.728577393878</v>
      </c>
      <c r="I11" s="43">
        <f>'RtR Market DT'!AP15</f>
        <v>97954.836038161</v>
      </c>
      <c r="J11" s="99">
        <f t="shared" si="1"/>
        <v>1.139443163248691</v>
      </c>
      <c r="K11" s="97">
        <v>1</v>
      </c>
      <c r="L11" s="30">
        <f>'RtR Market OATT'!D46</f>
        <v>15.579492766130425</v>
      </c>
      <c r="M11" s="18">
        <f>'RtR Market OATT'!C46</f>
        <v>8890.059546720526</v>
      </c>
      <c r="N11" s="43">
        <f>'RtR Market OATT'!I46</f>
        <v>106079.04685730349</v>
      </c>
      <c r="O11" s="219">
        <f t="shared" si="2"/>
        <v>1.1932321296591903</v>
      </c>
      <c r="P11" s="97">
        <f>'RtR Market EBS '!C67</f>
        <v>4048.12523904748</v>
      </c>
      <c r="Q11" s="18">
        <f>'RtR Market EBS '!D67</f>
        <v>4841.934307673046</v>
      </c>
      <c r="R11" s="29">
        <f t="shared" si="3"/>
        <v>8890.059546720526</v>
      </c>
      <c r="S11" s="22">
        <f>'RtR Market EBS '!F67</f>
        <v>2910.2924964954664</v>
      </c>
      <c r="T11" s="29">
        <f>'RtR Market EBS '!G67</f>
        <v>-1931.6418111775793</v>
      </c>
      <c r="U11" s="54">
        <f>'RtR Market EBS '!B87</f>
        <v>1053.03</v>
      </c>
      <c r="V11" s="43">
        <f>'RtR Market EBS '!C87</f>
        <v>482208.23770115856</v>
      </c>
      <c r="W11" s="43">
        <f>'RtR Market EBS '!D87</f>
        <v>-153372.41456531108</v>
      </c>
      <c r="X11" s="13"/>
      <c r="Y11" s="43">
        <f t="shared" si="4"/>
        <v>329888.8531358475</v>
      </c>
      <c r="Z11" s="219">
        <f t="shared" si="5"/>
        <v>3.7107608942567873</v>
      </c>
      <c r="AA11" s="97">
        <f>'RtR Market SS'!C74</f>
        <v>16373.075225949844</v>
      </c>
      <c r="AB11" s="18">
        <f>'RtR Market SS'!D74</f>
        <v>6384.695606830923</v>
      </c>
      <c r="AC11" s="29">
        <f t="shared" si="6"/>
        <v>9988.379619118921</v>
      </c>
      <c r="AD11" s="54">
        <f>'RtR Market SS'!B74</f>
        <v>1053.03</v>
      </c>
      <c r="AE11" s="43">
        <f>'RtR Market SS'!F74</f>
        <v>53637.598554668606</v>
      </c>
      <c r="AF11" s="43">
        <f t="shared" si="7"/>
        <v>54690.628554668605</v>
      </c>
      <c r="AG11" s="226">
        <f t="shared" si="8"/>
        <v>0.6151885515192477</v>
      </c>
      <c r="AH11" s="97">
        <f>'RtR Market RTT'!B20</f>
        <v>4048.12523904748</v>
      </c>
      <c r="AI11" s="19">
        <f>'RtR Market RTT'!C20</f>
        <v>133952.46416008112</v>
      </c>
      <c r="AJ11" s="189">
        <f>'RtR Market RTT'!D20</f>
        <v>6.384695606830923</v>
      </c>
      <c r="AK11" s="19">
        <f>'RtR Market RTT'!E20</f>
        <v>34285.81540868206</v>
      </c>
      <c r="AL11" s="43">
        <f t="shared" si="9"/>
        <v>168238.27956876316</v>
      </c>
      <c r="AM11" s="182">
        <f t="shared" si="10"/>
        <v>1.8924314138123512</v>
      </c>
      <c r="AN11" s="54">
        <f t="shared" si="11"/>
        <v>756851.6441547438</v>
      </c>
      <c r="AO11" s="99">
        <f t="shared" si="0"/>
        <v>8.513459782549381</v>
      </c>
    </row>
    <row r="12" spans="1:41" ht="15">
      <c r="A12" t="s">
        <v>9</v>
      </c>
      <c r="B12" s="12">
        <f>'Bundled Service'!AM16</f>
        <v>1629</v>
      </c>
      <c r="C12" s="18">
        <f>'Bundled Service'!AN16/1000</f>
        <v>8472.388610607703</v>
      </c>
      <c r="D12" s="43">
        <f>'Bundled Service'!AP16</f>
        <v>978802.6619477263</v>
      </c>
      <c r="E12" s="23">
        <f>'Bundled Service'!AQ16</f>
        <v>11.552853710253965</v>
      </c>
      <c r="F12" s="38"/>
      <c r="G12" s="97">
        <f>'RtR Market DT'!AM16</f>
        <v>1629</v>
      </c>
      <c r="H12" s="18">
        <f>'RtR Market DT'!AN16/1000</f>
        <v>8472.388610607703</v>
      </c>
      <c r="I12" s="43">
        <f>'RtR Market DT'!AP16</f>
        <v>103920.73513684604</v>
      </c>
      <c r="J12" s="99">
        <f t="shared" si="1"/>
        <v>1.226581309156829</v>
      </c>
      <c r="K12" s="97">
        <v>1</v>
      </c>
      <c r="L12" s="30">
        <f>'RtR Market OATT'!D47</f>
        <v>16.82199205850075</v>
      </c>
      <c r="M12" s="18">
        <f>'RtR Market OATT'!C47</f>
        <v>8660.592310642358</v>
      </c>
      <c r="N12" s="43">
        <f>'RtR Market OATT'!I47</f>
        <v>112329.28097126767</v>
      </c>
      <c r="O12" s="219">
        <f t="shared" si="2"/>
        <v>1.2970161501914201</v>
      </c>
      <c r="P12" s="97">
        <f>'RtR Market EBS '!C68</f>
        <v>3767.69344081986</v>
      </c>
      <c r="Q12" s="18">
        <f>'RtR Market EBS '!D68</f>
        <v>4892.898869822498</v>
      </c>
      <c r="R12" s="29">
        <f t="shared" si="3"/>
        <v>8660.592310642358</v>
      </c>
      <c r="S12" s="22">
        <f>'RtR Market EBS '!F68</f>
        <v>522.1828042164957</v>
      </c>
      <c r="T12" s="29">
        <f>'RtR Market EBS '!G68</f>
        <v>-4370.716065606002</v>
      </c>
      <c r="U12" s="54">
        <f>'RtR Market EBS '!B88</f>
        <v>1053.03</v>
      </c>
      <c r="V12" s="43">
        <f>'RtR Market EBS '!C88</f>
        <v>487283.7984456226</v>
      </c>
      <c r="W12" s="43">
        <f>'RtR Market EBS '!D88</f>
        <v>-27519.03378220932</v>
      </c>
      <c r="X12" s="13"/>
      <c r="Y12" s="43">
        <f t="shared" si="4"/>
        <v>460817.7946634133</v>
      </c>
      <c r="Z12" s="219">
        <f t="shared" si="5"/>
        <v>5.320857721210922</v>
      </c>
      <c r="AA12" s="97">
        <f>'RtR Market SS'!C75</f>
        <v>16357.749238689601</v>
      </c>
      <c r="AB12" s="18">
        <f>'RtR Market SS'!D75</f>
        <v>6384.695606830923</v>
      </c>
      <c r="AC12" s="29">
        <f t="shared" si="6"/>
        <v>9973.053631858678</v>
      </c>
      <c r="AD12" s="54">
        <f>'RtR Market SS'!B75</f>
        <v>1053.03</v>
      </c>
      <c r="AE12" s="43">
        <f>'RtR Market SS'!F75</f>
        <v>53555.2980030811</v>
      </c>
      <c r="AF12" s="43">
        <f t="shared" si="7"/>
        <v>54608.3280030811</v>
      </c>
      <c r="AG12" s="226">
        <f t="shared" si="8"/>
        <v>0.6305380283976303</v>
      </c>
      <c r="AH12" s="97">
        <f>'RtR Market RTT'!B21</f>
        <v>3767.69344081986</v>
      </c>
      <c r="AI12" s="19">
        <f>'RtR Market RTT'!C21</f>
        <v>124672.97595672918</v>
      </c>
      <c r="AJ12" s="189">
        <f>'RtR Market RTT'!D21</f>
        <v>6.384695606830923</v>
      </c>
      <c r="AK12" s="19">
        <f>'RtR Market RTT'!E21</f>
        <v>34285.81540868206</v>
      </c>
      <c r="AL12" s="43">
        <f t="shared" si="9"/>
        <v>158958.79136541125</v>
      </c>
      <c r="AM12" s="182">
        <f t="shared" si="10"/>
        <v>1.8354263272510658</v>
      </c>
      <c r="AN12" s="54">
        <f t="shared" si="11"/>
        <v>890634.9301400194</v>
      </c>
      <c r="AO12" s="99">
        <f t="shared" si="0"/>
        <v>10.283764645584164</v>
      </c>
    </row>
    <row r="13" spans="1:41" ht="15">
      <c r="A13" t="s">
        <v>10</v>
      </c>
      <c r="B13" s="12">
        <f>'Bundled Service'!AM17</f>
        <v>1926</v>
      </c>
      <c r="C13" s="18">
        <f>'Bundled Service'!AN17/1000</f>
        <v>9575.64455028044</v>
      </c>
      <c r="D13" s="43">
        <f>'Bundled Service'!AP17</f>
        <v>1094815.6049297012</v>
      </c>
      <c r="E13" s="23">
        <f>'Bundled Service'!AQ17</f>
        <v>11.433335888576163</v>
      </c>
      <c r="F13" s="38"/>
      <c r="G13" s="97">
        <f>'RtR Market DT'!AM17</f>
        <v>1926</v>
      </c>
      <c r="H13" s="18">
        <f>'RtR Market DT'!AN17/1000</f>
        <v>9575.64455028044</v>
      </c>
      <c r="I13" s="43">
        <f>'RtR Market DT'!AP17</f>
        <v>116035.38047770192</v>
      </c>
      <c r="J13" s="99">
        <f t="shared" si="1"/>
        <v>1.2117761876854924</v>
      </c>
      <c r="K13" s="97">
        <v>1</v>
      </c>
      <c r="L13" s="30">
        <f>'RtR Market OATT'!D48</f>
        <v>17.990307592466184</v>
      </c>
      <c r="M13" s="18">
        <f>'RtR Market OATT'!C48</f>
        <v>9798.575735917773</v>
      </c>
      <c r="N13" s="43">
        <f>'RtR Market OATT'!I48</f>
        <v>118973.50019204221</v>
      </c>
      <c r="O13" s="219">
        <f t="shared" si="2"/>
        <v>1.214191770299142</v>
      </c>
      <c r="P13" s="97">
        <f>'RtR Market EBS '!C69</f>
        <v>5874</v>
      </c>
      <c r="Q13" s="18">
        <f>'RtR Market EBS '!D69</f>
        <v>3924.5757359177733</v>
      </c>
      <c r="R13" s="29">
        <f t="shared" si="3"/>
        <v>9798.575735917773</v>
      </c>
      <c r="S13" s="22">
        <f>'RtR Market EBS '!F69</f>
        <v>4803.465374754422</v>
      </c>
      <c r="T13" s="29">
        <f>'RtR Market EBS '!G69</f>
        <v>878.8896388366484</v>
      </c>
      <c r="U13" s="54">
        <f>'RtR Market EBS '!B89</f>
        <v>1053.03</v>
      </c>
      <c r="V13" s="43">
        <f>'RtR Market EBS '!C89</f>
        <v>390848.497540051</v>
      </c>
      <c r="W13" s="43">
        <f>'RtR Market EBS '!D89</f>
        <v>-253142.625249558</v>
      </c>
      <c r="X13" s="13"/>
      <c r="Y13" s="43">
        <f t="shared" si="4"/>
        <v>138758.90229049302</v>
      </c>
      <c r="Z13" s="219">
        <f t="shared" si="5"/>
        <v>1.4161129742749936</v>
      </c>
      <c r="AA13" s="97">
        <f>'RtR Market SS'!C76</f>
        <v>17280.292635807557</v>
      </c>
      <c r="AB13" s="18">
        <f>'RtR Market SS'!D76</f>
        <v>14695.215747620914</v>
      </c>
      <c r="AC13" s="29">
        <f t="shared" si="6"/>
        <v>2585.0768881866425</v>
      </c>
      <c r="AD13" s="54">
        <f>'RtR Market SS'!B76</f>
        <v>1053.03</v>
      </c>
      <c r="AE13" s="43">
        <f>'RtR Market SS'!F76</f>
        <v>13881.86288956227</v>
      </c>
      <c r="AF13" s="43">
        <f t="shared" si="7"/>
        <v>14934.89288956227</v>
      </c>
      <c r="AG13" s="226">
        <f t="shared" si="8"/>
        <v>0.15241901774373956</v>
      </c>
      <c r="AH13" s="97">
        <f>'RtR Market RTT'!B22</f>
        <v>5874</v>
      </c>
      <c r="AI13" s="19">
        <f>'RtR Market RTT'!C22</f>
        <v>194370.66000000003</v>
      </c>
      <c r="AJ13" s="189">
        <f>'RtR Market RTT'!D22</f>
        <v>14.695215747620914</v>
      </c>
      <c r="AK13" s="19">
        <f>'RtR Market RTT'!E22</f>
        <v>78913.3085647243</v>
      </c>
      <c r="AL13" s="43">
        <f t="shared" si="9"/>
        <v>273283.9685647243</v>
      </c>
      <c r="AM13" s="182">
        <f t="shared" si="10"/>
        <v>2.7890172605695276</v>
      </c>
      <c r="AN13" s="54">
        <f t="shared" si="11"/>
        <v>661986.6444145237</v>
      </c>
      <c r="AO13" s="99">
        <f t="shared" si="0"/>
        <v>6.7559476219379295</v>
      </c>
    </row>
    <row r="14" spans="1:41" ht="15">
      <c r="A14" t="s">
        <v>11</v>
      </c>
      <c r="B14" s="12">
        <f>'Bundled Service'!AM18</f>
        <v>2144</v>
      </c>
      <c r="C14" s="18">
        <f>'Bundled Service'!AN18/1000</f>
        <v>10091.034906309778</v>
      </c>
      <c r="D14" s="43">
        <f>'Bundled Service'!AP18</f>
        <v>1156840.4089308803</v>
      </c>
      <c r="E14" s="23">
        <f>'Bundled Service'!AQ18</f>
        <v>11.464041296770509</v>
      </c>
      <c r="F14" s="38"/>
      <c r="G14" s="97">
        <f>'RtR Market DT'!AM18</f>
        <v>2144</v>
      </c>
      <c r="H14" s="18">
        <f>'RtR Market DT'!AN18/1000</f>
        <v>10091.034906309778</v>
      </c>
      <c r="I14" s="43">
        <f>'RtR Market DT'!AP18</f>
        <v>124782.31057729218</v>
      </c>
      <c r="J14" s="99">
        <f t="shared" si="1"/>
        <v>1.2365660384275117</v>
      </c>
      <c r="K14" s="97">
        <v>1</v>
      </c>
      <c r="L14" s="30">
        <f>'RtR Market OATT'!D49</f>
        <v>19.174777394275786</v>
      </c>
      <c r="M14" s="18">
        <f>'RtR Market OATT'!C49</f>
        <v>10412.031578146403</v>
      </c>
      <c r="N14" s="43">
        <f>'RtR Market OATT'!I49</f>
        <v>127113.55409859782</v>
      </c>
      <c r="O14" s="219">
        <f t="shared" si="2"/>
        <v>1.2208333517292995</v>
      </c>
      <c r="P14" s="97">
        <f>'RtR Market EBS '!C70</f>
        <v>6329</v>
      </c>
      <c r="Q14" s="18">
        <f>'RtR Market EBS '!D70</f>
        <v>4083.0315781464033</v>
      </c>
      <c r="R14" s="29">
        <f t="shared" si="3"/>
        <v>10412.031578146403</v>
      </c>
      <c r="S14" s="22">
        <f>'RtR Market EBS '!F70</f>
        <v>5408.393964382465</v>
      </c>
      <c r="T14" s="29">
        <f>'RtR Market EBS '!G70</f>
        <v>1325.3623862360619</v>
      </c>
      <c r="U14" s="54">
        <f>'RtR Market EBS '!B90</f>
        <v>1053.03</v>
      </c>
      <c r="V14" s="43">
        <f>'RtR Market EBS '!C90</f>
        <v>406629.11486760026</v>
      </c>
      <c r="W14" s="43">
        <f>'RtR Market EBS '!D90</f>
        <v>-285022.3619229559</v>
      </c>
      <c r="X14" s="13"/>
      <c r="Y14" s="43">
        <f t="shared" si="4"/>
        <v>122659.7829446444</v>
      </c>
      <c r="Z14" s="219">
        <f t="shared" si="5"/>
        <v>1.1780581150185183</v>
      </c>
      <c r="AA14" s="97">
        <f>'RtR Market SS'!C77</f>
        <v>18647.50146871567</v>
      </c>
      <c r="AB14" s="18">
        <f>'RtR Market SS'!D77</f>
        <v>14695.215747620914</v>
      </c>
      <c r="AC14" s="29">
        <f t="shared" si="6"/>
        <v>3952.285721094755</v>
      </c>
      <c r="AD14" s="54">
        <f>'RtR Market SS'!B77</f>
        <v>1053.03</v>
      </c>
      <c r="AE14" s="43">
        <f>'RtR Market SS'!F77</f>
        <v>21223.774322278834</v>
      </c>
      <c r="AF14" s="43">
        <f t="shared" si="7"/>
        <v>22276.804322278833</v>
      </c>
      <c r="AG14" s="226">
        <f t="shared" si="8"/>
        <v>0.2139525236269467</v>
      </c>
      <c r="AH14" s="97">
        <f>'RtR Market RTT'!B23</f>
        <v>6329</v>
      </c>
      <c r="AI14" s="19">
        <f>'RtR Market RTT'!C23</f>
        <v>209426.61</v>
      </c>
      <c r="AJ14" s="189">
        <f>'RtR Market RTT'!D23</f>
        <v>14.695215747620914</v>
      </c>
      <c r="AK14" s="19">
        <f>'RtR Market RTT'!E23</f>
        <v>78913.3085647243</v>
      </c>
      <c r="AL14" s="43">
        <f t="shared" si="9"/>
        <v>288339.91856472427</v>
      </c>
      <c r="AM14" s="182">
        <f t="shared" si="10"/>
        <v>2.769295467465878</v>
      </c>
      <c r="AN14" s="54">
        <f t="shared" si="11"/>
        <v>685172.3705075375</v>
      </c>
      <c r="AO14" s="99">
        <f t="shared" si="0"/>
        <v>6.580582908964966</v>
      </c>
    </row>
    <row r="15" spans="1:41" ht="15">
      <c r="A15" t="s">
        <v>12</v>
      </c>
      <c r="B15" s="12">
        <f>'Bundled Service'!AM19</f>
        <v>2442</v>
      </c>
      <c r="C15" s="18">
        <f>'Bundled Service'!AN19/1000</f>
        <v>15166.58697839182</v>
      </c>
      <c r="D15" s="43">
        <f>'Bundled Service'!AP19</f>
        <v>1719610.362826493</v>
      </c>
      <c r="E15" s="23">
        <f>'Bundled Service'!AQ19</f>
        <v>11.338149876939754</v>
      </c>
      <c r="F15" s="38"/>
      <c r="G15" s="97">
        <f>'RtR Market DT'!AM19</f>
        <v>2442</v>
      </c>
      <c r="H15" s="18">
        <f>'RtR Market DT'!AN19/1000</f>
        <v>9805.715380109528</v>
      </c>
      <c r="I15" s="43">
        <f>'RtR Market DT'!AP19</f>
        <v>135515.63899551457</v>
      </c>
      <c r="J15" s="99">
        <f t="shared" si="1"/>
        <v>1.3820066536950706</v>
      </c>
      <c r="K15" s="97">
        <v>1</v>
      </c>
      <c r="L15" s="30">
        <f>'RtR Market OATT'!D50</f>
        <v>20.006418976648966</v>
      </c>
      <c r="M15" s="18">
        <f>'RtR Market OATT'!C50</f>
        <v>15362.754881218998</v>
      </c>
      <c r="N15" s="43">
        <f>'RtR Market OATT'!I50</f>
        <v>133002.0539255157</v>
      </c>
      <c r="O15" s="219">
        <f t="shared" si="2"/>
        <v>0.8657435138024041</v>
      </c>
      <c r="P15" s="97">
        <f>'RtR Market EBS '!C71</f>
        <v>7531</v>
      </c>
      <c r="Q15" s="18">
        <f>'RtR Market EBS '!D71</f>
        <v>7831.754881218998</v>
      </c>
      <c r="R15" s="29">
        <f t="shared" si="3"/>
        <v>15362.754881218998</v>
      </c>
      <c r="S15" s="22">
        <f>'RtR Market EBS '!F71</f>
        <v>2217.796739421141</v>
      </c>
      <c r="T15" s="29">
        <f>'RtR Market EBS '!G71</f>
        <v>-5613.958141797857</v>
      </c>
      <c r="U15" s="54">
        <f>'RtR Market EBS '!B91</f>
        <v>1053.03</v>
      </c>
      <c r="V15" s="43">
        <f>'RtR Market EBS '!C91</f>
        <v>779964.4686206</v>
      </c>
      <c r="W15" s="43">
        <f>'RtR Market EBS '!D91</f>
        <v>-116877.88816749411</v>
      </c>
      <c r="X15" s="13"/>
      <c r="Y15" s="43">
        <f t="shared" si="4"/>
        <v>664139.6104531059</v>
      </c>
      <c r="Z15" s="219">
        <f t="shared" si="5"/>
        <v>4.323050231472599</v>
      </c>
      <c r="AA15" s="97">
        <f>'RtR Market SS'!C78</f>
        <v>27330.208820906977</v>
      </c>
      <c r="AB15" s="18">
        <f>'RtR Market SS'!D78</f>
        <v>13158.323556250818</v>
      </c>
      <c r="AC15" s="29">
        <f t="shared" si="6"/>
        <v>14171.885264656159</v>
      </c>
      <c r="AD15" s="54">
        <f>'RtR Market SS'!B78</f>
        <v>1053.03</v>
      </c>
      <c r="AE15" s="43">
        <f>'RtR Market SS'!F78</f>
        <v>76103.02387120358</v>
      </c>
      <c r="AF15" s="43">
        <f t="shared" si="7"/>
        <v>77156.05387120358</v>
      </c>
      <c r="AG15" s="226">
        <f t="shared" si="8"/>
        <v>0.5022279823362086</v>
      </c>
      <c r="AH15" s="97">
        <f>'RtR Market RTT'!B24</f>
        <v>7531</v>
      </c>
      <c r="AI15" s="19">
        <f>'RtR Market RTT'!C24</f>
        <v>249200.79</v>
      </c>
      <c r="AJ15" s="189">
        <f>'RtR Market RTT'!D24</f>
        <v>13.158323556250817</v>
      </c>
      <c r="AK15" s="19">
        <f>'RtR Market RTT'!E24</f>
        <v>70660.1974970669</v>
      </c>
      <c r="AL15" s="43">
        <f t="shared" si="9"/>
        <v>319860.9874970669</v>
      </c>
      <c r="AM15" s="182">
        <f t="shared" si="10"/>
        <v>2.0820548786344153</v>
      </c>
      <c r="AN15" s="54">
        <f t="shared" si="11"/>
        <v>1329674.3447424066</v>
      </c>
      <c r="AO15" s="99">
        <f t="shared" si="0"/>
        <v>8.655181671667082</v>
      </c>
    </row>
    <row r="16" spans="1:41" ht="15">
      <c r="A16" t="s">
        <v>13</v>
      </c>
      <c r="B16" s="12">
        <f>'Bundled Service'!AM20</f>
        <v>2772</v>
      </c>
      <c r="C16" s="18">
        <f>'Bundled Service'!AN20/1000</f>
        <v>15557.902446471418</v>
      </c>
      <c r="D16" s="43">
        <f>'Bundled Service'!AP20</f>
        <v>1738919.99978547</v>
      </c>
      <c r="E16" s="23">
        <f>'Bundled Service'!AQ20</f>
        <v>11.177085122936111</v>
      </c>
      <c r="F16" s="38"/>
      <c r="G16" s="97">
        <f>'RtR Market DT'!AM20</f>
        <v>2772</v>
      </c>
      <c r="H16" s="18">
        <f>'RtR Market DT'!AN20/1000</f>
        <v>10331.457076975012</v>
      </c>
      <c r="I16" s="43">
        <f>'RtR Market DT'!AP20</f>
        <v>145535.40021418652</v>
      </c>
      <c r="J16" s="99">
        <f t="shared" si="1"/>
        <v>1.4086628742670864</v>
      </c>
      <c r="K16" s="97">
        <v>1</v>
      </c>
      <c r="L16" s="30">
        <f>'RtR Market OATT'!D51</f>
        <v>20.139319322610337</v>
      </c>
      <c r="M16" s="18">
        <f>'RtR Market OATT'!C51</f>
        <v>15869.149591670468</v>
      </c>
      <c r="N16" s="43">
        <f>'RtR Market OATT'!I51</f>
        <v>134952.75054208163</v>
      </c>
      <c r="O16" s="219">
        <f t="shared" si="2"/>
        <v>0.850409467517508</v>
      </c>
      <c r="P16" s="97">
        <f>'RtR Market EBS '!C72</f>
        <v>9601</v>
      </c>
      <c r="Q16" s="18">
        <f>'RtR Market EBS '!D72</f>
        <v>6268.149591670468</v>
      </c>
      <c r="R16" s="29">
        <f t="shared" si="3"/>
        <v>15869.149591670468</v>
      </c>
      <c r="S16" s="22">
        <f>'RtR Market EBS '!F72</f>
        <v>3992.070641627208</v>
      </c>
      <c r="T16" s="29">
        <f>'RtR Market EBS '!G72</f>
        <v>-2276.07895004326</v>
      </c>
      <c r="U16" s="54">
        <f>'RtR Market EBS '!B92</f>
        <v>1053.03</v>
      </c>
      <c r="V16" s="43">
        <f>'RtR Market EBS '!C92</f>
        <v>624245.0178344619</v>
      </c>
      <c r="W16" s="43">
        <f>'RtR Market EBS '!D92</f>
        <v>-210382.12281375384</v>
      </c>
      <c r="X16" s="13"/>
      <c r="Y16" s="43">
        <f t="shared" si="4"/>
        <v>414915.92502070806</v>
      </c>
      <c r="Z16" s="219">
        <f t="shared" si="5"/>
        <v>2.614607182469895</v>
      </c>
      <c r="AA16" s="97">
        <f>'RtR Market SS'!C79</f>
        <v>28956.361320246397</v>
      </c>
      <c r="AB16" s="18">
        <f>'RtR Market SS'!D79</f>
        <v>14695.215747620914</v>
      </c>
      <c r="AC16" s="29">
        <f t="shared" si="6"/>
        <v>14261.145572625483</v>
      </c>
      <c r="AD16" s="54">
        <f>'RtR Market SS'!B79</f>
        <v>1053.03</v>
      </c>
      <c r="AE16" s="43">
        <f>'RtR Market SS'!F79</f>
        <v>76582.35172499884</v>
      </c>
      <c r="AF16" s="43">
        <f t="shared" si="7"/>
        <v>77635.38172499884</v>
      </c>
      <c r="AG16" s="226">
        <f t="shared" si="8"/>
        <v>0.48922206748714964</v>
      </c>
      <c r="AH16" s="97">
        <f>'RtR Market RTT'!B25</f>
        <v>9601</v>
      </c>
      <c r="AI16" s="19">
        <f>'RtR Market RTT'!C25</f>
        <v>317697.09</v>
      </c>
      <c r="AJ16" s="189">
        <f>'RtR Market RTT'!D25</f>
        <v>14.695215747620914</v>
      </c>
      <c r="AK16" s="19">
        <f>'RtR Market RTT'!E25</f>
        <v>78913.3085647243</v>
      </c>
      <c r="AL16" s="43">
        <f t="shared" si="9"/>
        <v>396610.3985647243</v>
      </c>
      <c r="AM16" s="182">
        <f t="shared" si="10"/>
        <v>2.499254268627605</v>
      </c>
      <c r="AN16" s="54">
        <f t="shared" si="11"/>
        <v>1169649.8560666994</v>
      </c>
      <c r="AO16" s="99">
        <f t="shared" si="0"/>
        <v>7.370589389872757</v>
      </c>
    </row>
    <row r="17" spans="1:41" ht="15">
      <c r="A17" t="s">
        <v>14</v>
      </c>
      <c r="B17" s="12">
        <f>'Bundled Service'!AM21</f>
        <v>3006</v>
      </c>
      <c r="C17" s="18">
        <f>'Bundled Service'!AN21/1000</f>
        <v>15871.320542930143</v>
      </c>
      <c r="D17" s="43">
        <f>'Bundled Service'!AP21</f>
        <v>1797182.7054432868</v>
      </c>
      <c r="E17" s="23">
        <f>'Bundled Service'!AQ21</f>
        <v>11.323460455493347</v>
      </c>
      <c r="F17" s="38"/>
      <c r="G17" s="97">
        <f>'RtR Market DT'!AM21</f>
        <v>3006</v>
      </c>
      <c r="H17" s="18">
        <f>'RtR Market DT'!AN21/1000</f>
        <v>10726.71783056288</v>
      </c>
      <c r="I17" s="43">
        <f>'RtR Market DT'!AP21</f>
        <v>158882.27250833958</v>
      </c>
      <c r="J17" s="99">
        <f t="shared" si="1"/>
        <v>1.4811825482688425</v>
      </c>
      <c r="K17" s="97">
        <v>1</v>
      </c>
      <c r="L17" s="30">
        <f>'RtR Market OATT'!D52</f>
        <v>21.11597940656102</v>
      </c>
      <c r="M17" s="18">
        <f>'RtR Market OATT'!C52</f>
        <v>16190.37813025207</v>
      </c>
      <c r="N17" s="43">
        <f>'RtR Market OATT'!I52</f>
        <v>140351.33908208454</v>
      </c>
      <c r="O17" s="219">
        <f t="shared" si="2"/>
        <v>0.8668811682652121</v>
      </c>
      <c r="P17" s="97">
        <f>'RtR Market EBS '!C73</f>
        <v>10841</v>
      </c>
      <c r="Q17" s="18">
        <f>'RtR Market EBS '!D73</f>
        <v>5349.378130252069</v>
      </c>
      <c r="R17" s="29">
        <f t="shared" si="3"/>
        <v>16190.37813025207</v>
      </c>
      <c r="S17" s="22">
        <f>'RtR Market EBS '!F73</f>
        <v>8163.389017949226</v>
      </c>
      <c r="T17" s="29">
        <f>'RtR Market EBS '!G73</f>
        <v>2814.010887697157</v>
      </c>
      <c r="U17" s="54">
        <f>'RtR Market EBS '!B93</f>
        <v>1053.03</v>
      </c>
      <c r="V17" s="43">
        <f>'RtR Market EBS '!C93</f>
        <v>532744.5679918035</v>
      </c>
      <c r="W17" s="43">
        <f>'RtR Market EBS '!D93</f>
        <v>-430210.6012459242</v>
      </c>
      <c r="X17" s="13"/>
      <c r="Y17" s="43">
        <f t="shared" si="4"/>
        <v>103586.99674587935</v>
      </c>
      <c r="Z17" s="219">
        <f t="shared" si="5"/>
        <v>0.6398059138120118</v>
      </c>
      <c r="AA17" s="97">
        <f>'RtR Market SS'!C80</f>
        <v>28251.226314738054</v>
      </c>
      <c r="AB17" s="18">
        <f>'RtR Market SS'!D80</f>
        <v>14695.215747620914</v>
      </c>
      <c r="AC17" s="29">
        <f t="shared" si="6"/>
        <v>13556.01056711714</v>
      </c>
      <c r="AD17" s="54">
        <f>'RtR Market SS'!B80</f>
        <v>1053.03</v>
      </c>
      <c r="AE17" s="43">
        <f>'RtR Market SS'!F80</f>
        <v>72795.77674541905</v>
      </c>
      <c r="AF17" s="43">
        <f t="shared" si="7"/>
        <v>73848.80674541905</v>
      </c>
      <c r="AG17" s="226">
        <f t="shared" si="8"/>
        <v>0.45612774545043494</v>
      </c>
      <c r="AH17" s="97">
        <f>'RtR Market RTT'!B26</f>
        <v>10841</v>
      </c>
      <c r="AI17" s="19">
        <f>'RtR Market RTT'!C26</f>
        <v>358728.69</v>
      </c>
      <c r="AJ17" s="189">
        <f>'RtR Market RTT'!D26</f>
        <v>14.695215747620914</v>
      </c>
      <c r="AK17" s="19">
        <f>'RtR Market RTT'!E26</f>
        <v>78913.3085647243</v>
      </c>
      <c r="AL17" s="43">
        <f t="shared" si="9"/>
        <v>437641.9985647243</v>
      </c>
      <c r="AM17" s="182">
        <f t="shared" si="10"/>
        <v>2.7030993040674005</v>
      </c>
      <c r="AN17" s="54">
        <f t="shared" si="11"/>
        <v>914311.4136464468</v>
      </c>
      <c r="AO17" s="99">
        <f t="shared" si="0"/>
        <v>5.647251758364039</v>
      </c>
    </row>
    <row r="18" spans="1:41" ht="17.25">
      <c r="A18" t="s">
        <v>15</v>
      </c>
      <c r="B18" s="51">
        <f>'Bundled Service'!AM22</f>
        <v>3357</v>
      </c>
      <c r="C18" s="95">
        <f>'Bundled Service'!AN22/1000</f>
        <v>15762.546718275087</v>
      </c>
      <c r="D18" s="44">
        <f>'Bundled Service'!AP22</f>
        <v>1884693.4626752252</v>
      </c>
      <c r="E18" s="96">
        <f>'Bundled Service'!AQ22</f>
        <v>11.95678272274437</v>
      </c>
      <c r="F18" s="110"/>
      <c r="G18" s="97">
        <f>'RtR Market DT'!AM22</f>
        <v>3357</v>
      </c>
      <c r="H18" s="95">
        <f>'RtR Market DT'!AN22/1000</f>
        <v>11347.95672183155</v>
      </c>
      <c r="I18" s="44">
        <f>'RtR Market DT'!AP22</f>
        <v>193963.75169446316</v>
      </c>
      <c r="J18" s="101">
        <f t="shared" si="1"/>
        <v>1.7092394379801406</v>
      </c>
      <c r="K18" s="97">
        <v>1</v>
      </c>
      <c r="L18" s="98">
        <f>'RtR Market OATT'!D53</f>
        <v>24.65073336678421</v>
      </c>
      <c r="M18" s="20">
        <f>'RtR Market OATT'!C53</f>
        <v>16341.594497031205</v>
      </c>
      <c r="N18" s="44">
        <f>'RtR Market OATT'!I53</f>
        <v>166409.27965248676</v>
      </c>
      <c r="O18" s="220">
        <f t="shared" si="2"/>
        <v>1.0183172742581426</v>
      </c>
      <c r="P18" s="112">
        <f>'RtR Market EBS '!C74</f>
        <v>10931</v>
      </c>
      <c r="Q18" s="20">
        <f>'RtR Market EBS '!D74</f>
        <v>5410.594497031205</v>
      </c>
      <c r="R18" s="113">
        <f t="shared" si="3"/>
        <v>16341.594497031205</v>
      </c>
      <c r="S18" s="123">
        <f>'RtR Market EBS '!F74</f>
        <v>4957.537088655357</v>
      </c>
      <c r="T18" s="113">
        <f>'RtR Market EBS '!G74</f>
        <v>-453.05740837584744</v>
      </c>
      <c r="U18" s="114">
        <f>'RtR Market EBS '!B94</f>
        <v>1053.03</v>
      </c>
      <c r="V18" s="115">
        <f>'RtR Market EBS '!C94</f>
        <v>538841.1059593377</v>
      </c>
      <c r="W18" s="115">
        <f>'RtR Market EBS '!D94</f>
        <v>-261262.2045721373</v>
      </c>
      <c r="X18" s="116"/>
      <c r="Y18" s="115">
        <f t="shared" si="4"/>
        <v>278631.93138720037</v>
      </c>
      <c r="Z18" s="220">
        <f t="shared" si="5"/>
        <v>1.705047395698258</v>
      </c>
      <c r="AA18" s="112">
        <f>'RtR Market SS'!C81</f>
        <v>30564.617246917023</v>
      </c>
      <c r="AB18" s="20">
        <f>'RtR Market SS'!D81</f>
        <v>14695.215747620914</v>
      </c>
      <c r="AC18" s="113">
        <f t="shared" si="6"/>
        <v>15869.40149929611</v>
      </c>
      <c r="AD18" s="114">
        <f>'RtR Market SS'!B81</f>
        <v>1053.03</v>
      </c>
      <c r="AE18" s="115">
        <f>'RtR Market SS'!F81</f>
        <v>85218.68605122011</v>
      </c>
      <c r="AF18" s="115">
        <f t="shared" si="7"/>
        <v>86271.71605122011</v>
      </c>
      <c r="AG18" s="227">
        <f t="shared" si="8"/>
        <v>0.5279271619846716</v>
      </c>
      <c r="AH18" s="112">
        <f>'RtR Market RTT'!B27</f>
        <v>10931</v>
      </c>
      <c r="AI18" s="21">
        <f>'RtR Market RTT'!C27</f>
        <v>361706.79000000004</v>
      </c>
      <c r="AJ18" s="190">
        <f>'RtR Market RTT'!D27</f>
        <v>14.695215747620914</v>
      </c>
      <c r="AK18" s="21">
        <f>'RtR Market RTT'!E27</f>
        <v>78913.3085647243</v>
      </c>
      <c r="AL18" s="44">
        <f t="shared" si="9"/>
        <v>440620.0985647243</v>
      </c>
      <c r="AM18" s="188">
        <f t="shared" si="10"/>
        <v>2.6963103180951666</v>
      </c>
      <c r="AN18" s="122">
        <f t="shared" si="11"/>
        <v>1165896.7773500946</v>
      </c>
      <c r="AO18" s="101">
        <f t="shared" si="0"/>
        <v>7.134534990217169</v>
      </c>
    </row>
    <row r="19" spans="1:41" ht="15">
      <c r="A19" t="s">
        <v>24</v>
      </c>
      <c r="B19" s="12"/>
      <c r="C19" s="18">
        <f>SUM(C7:C18)</f>
        <v>129506.34544517171</v>
      </c>
      <c r="D19" s="43">
        <f>SUM(D7:D18)</f>
        <v>14779707.475921113</v>
      </c>
      <c r="E19" s="23">
        <f>'Bundled Service'!AQ23</f>
        <v>11.41234232586565</v>
      </c>
      <c r="F19" s="38"/>
      <c r="G19" s="120"/>
      <c r="H19" s="103">
        <f>SUM(H7:H18)</f>
        <v>109359.83576858221</v>
      </c>
      <c r="I19" s="107">
        <f>SUM(I7:I18)</f>
        <v>1402156.6231713048</v>
      </c>
      <c r="J19" s="111">
        <f t="shared" si="1"/>
        <v>1.2821495326112475</v>
      </c>
      <c r="K19" s="106"/>
      <c r="L19" s="121">
        <f>SUM(L7:L18)</f>
        <v>213.15778224479968</v>
      </c>
      <c r="M19" s="121">
        <f>SUM(M7:M18)</f>
        <v>132857.5669008329</v>
      </c>
      <c r="N19" s="107">
        <f>SUM(N7:N18)</f>
        <v>1437663.2103768052</v>
      </c>
      <c r="O19" s="221">
        <f t="shared" si="2"/>
        <v>1.082108640036966</v>
      </c>
      <c r="P19" s="102">
        <f aca="true" t="shared" si="12" ref="P19:W19">SUM(P7:P18)</f>
        <v>79714.47529015562</v>
      </c>
      <c r="Q19" s="103">
        <f t="shared" si="12"/>
        <v>53143.09161067727</v>
      </c>
      <c r="R19" s="104">
        <f t="shared" si="12"/>
        <v>132857.5669008329</v>
      </c>
      <c r="S19" s="103">
        <f t="shared" si="12"/>
        <v>53147.59148519191</v>
      </c>
      <c r="T19" s="104">
        <f t="shared" si="12"/>
        <v>4.499874514637668</v>
      </c>
      <c r="U19" s="106">
        <f t="shared" si="12"/>
        <v>12636.360000000002</v>
      </c>
      <c r="V19" s="107">
        <f t="shared" si="12"/>
        <v>5292520.49350735</v>
      </c>
      <c r="W19" s="107">
        <f t="shared" si="12"/>
        <v>-2800878.0712696137</v>
      </c>
      <c r="X19" s="107">
        <f>'RtR Market EBS '!J95</f>
        <v>0</v>
      </c>
      <c r="Y19" s="107">
        <f>'RtR Market EBS '!K95</f>
        <v>2504278.782237736</v>
      </c>
      <c r="Z19" s="221">
        <f t="shared" si="5"/>
        <v>1.884935002691244</v>
      </c>
      <c r="AA19" s="117">
        <f>SUM(AA7:AA18)</f>
        <v>237225.26377774106</v>
      </c>
      <c r="AB19" s="118">
        <f>SUM(AB7:AB18)</f>
        <v>124942.57593534091</v>
      </c>
      <c r="AC19" s="119">
        <f>SUM(AC7:AC18)</f>
        <v>112282.68784240013</v>
      </c>
      <c r="AD19" s="106">
        <f>'RtR Market SS'!B82</f>
        <v>12636.360000000002</v>
      </c>
      <c r="AE19" s="107">
        <f>'RtR Market SS'!F82</f>
        <v>602958.0337136888</v>
      </c>
      <c r="AF19" s="107">
        <f t="shared" si="7"/>
        <v>615594.3937136888</v>
      </c>
      <c r="AG19" s="228">
        <f t="shared" si="8"/>
        <v>0.46334914004046057</v>
      </c>
      <c r="AH19" s="102">
        <f>SUM(AH7:AH18)</f>
        <v>79714.47529015562</v>
      </c>
      <c r="AI19" s="107">
        <f>SUM(AI7:AI18)</f>
        <v>2637751.98735125</v>
      </c>
      <c r="AJ19" s="191">
        <f>SUM(AJ7:AJ18)</f>
        <v>124.94257593534095</v>
      </c>
      <c r="AK19" s="107">
        <f>SUM(AK7:AK18)</f>
        <v>670941.6327727806</v>
      </c>
      <c r="AL19" s="107">
        <f>SUM(AL7:AL18)</f>
        <v>3308693.6201240304</v>
      </c>
      <c r="AM19" s="183">
        <f t="shared" si="10"/>
        <v>2.4904066040842783</v>
      </c>
      <c r="AN19" s="106">
        <f>SUM(AN7:AN18)</f>
        <v>9268386.629623566</v>
      </c>
      <c r="AO19" s="111">
        <f t="shared" si="0"/>
        <v>6.976182723970584</v>
      </c>
    </row>
    <row r="20" spans="2:41" ht="15">
      <c r="B20" s="24"/>
      <c r="C20" s="25"/>
      <c r="D20" s="25"/>
      <c r="E20" s="26"/>
      <c r="F20" s="12"/>
      <c r="G20" s="24"/>
      <c r="H20" s="25"/>
      <c r="I20" s="25"/>
      <c r="J20" s="26"/>
      <c r="K20" s="24"/>
      <c r="L20" s="25"/>
      <c r="M20" s="25"/>
      <c r="N20" s="25"/>
      <c r="O20" s="26"/>
      <c r="P20" s="24"/>
      <c r="Q20" s="25"/>
      <c r="R20" s="25"/>
      <c r="S20" s="25"/>
      <c r="T20" s="26"/>
      <c r="U20" s="25"/>
      <c r="V20" s="25"/>
      <c r="W20" s="25"/>
      <c r="X20" s="25"/>
      <c r="Y20" s="25"/>
      <c r="Z20" s="26"/>
      <c r="AA20" s="24"/>
      <c r="AB20" s="25"/>
      <c r="AC20" s="25"/>
      <c r="AD20" s="25"/>
      <c r="AE20" s="25"/>
      <c r="AF20" s="25"/>
      <c r="AG20" s="26"/>
      <c r="AH20" s="25"/>
      <c r="AI20" s="25"/>
      <c r="AJ20" s="25"/>
      <c r="AK20" s="25"/>
      <c r="AL20" s="25"/>
      <c r="AM20" s="25"/>
      <c r="AN20" s="24"/>
      <c r="AO20" s="26"/>
    </row>
    <row r="21" spans="9:17" ht="15">
      <c r="I21" s="4"/>
      <c r="J21" s="4"/>
      <c r="L21" s="209"/>
      <c r="M21" s="209"/>
      <c r="N21" s="209"/>
      <c r="O21" s="209"/>
      <c r="P21" s="209"/>
      <c r="Q21" s="209"/>
    </row>
    <row r="22" spans="9:17" ht="15">
      <c r="I22" s="4"/>
      <c r="J22" s="4"/>
      <c r="L22" s="209"/>
      <c r="M22" s="209"/>
      <c r="N22" s="209"/>
      <c r="O22" s="209"/>
      <c r="P22" s="209"/>
      <c r="Q22" s="209"/>
    </row>
    <row r="23" spans="9:17" ht="15">
      <c r="I23" s="4"/>
      <c r="J23" s="4"/>
      <c r="L23" s="209"/>
      <c r="M23" s="209"/>
      <c r="N23" s="209"/>
      <c r="O23" s="209"/>
      <c r="P23" s="209"/>
      <c r="Q23" s="209"/>
    </row>
    <row r="24" spans="9:17" ht="15">
      <c r="I24" s="4"/>
      <c r="J24" s="4"/>
      <c r="L24" s="209"/>
      <c r="M24" s="209"/>
      <c r="N24" s="209"/>
      <c r="O24" s="209"/>
      <c r="P24" s="209"/>
      <c r="Q24" s="209"/>
    </row>
    <row r="25" spans="9:17" ht="15">
      <c r="I25" s="4"/>
      <c r="J25" s="4"/>
      <c r="L25" s="209"/>
      <c r="M25" s="209"/>
      <c r="N25" s="209"/>
      <c r="O25" s="209"/>
      <c r="P25" s="209"/>
      <c r="Q25" s="209"/>
    </row>
    <row r="26" spans="9:17" ht="15">
      <c r="I26" s="4"/>
      <c r="J26" s="4"/>
      <c r="L26" s="209"/>
      <c r="M26" s="209"/>
      <c r="N26" s="209"/>
      <c r="O26" s="209"/>
      <c r="P26" s="209"/>
      <c r="Q26" s="209"/>
    </row>
    <row r="27" spans="9:17" ht="15">
      <c r="I27" s="4"/>
      <c r="J27" s="4"/>
      <c r="L27" s="209"/>
      <c r="M27" s="209"/>
      <c r="N27" s="209"/>
      <c r="O27" s="209"/>
      <c r="P27" s="209"/>
      <c r="Q27" s="209"/>
    </row>
    <row r="28" spans="9:17" ht="15">
      <c r="I28" s="4"/>
      <c r="J28" s="4"/>
      <c r="L28" s="209"/>
      <c r="M28" s="209"/>
      <c r="N28" s="209"/>
      <c r="O28" s="209"/>
      <c r="P28" s="209"/>
      <c r="Q28" s="209"/>
    </row>
    <row r="29" spans="9:17" ht="15">
      <c r="I29" s="4"/>
      <c r="J29" s="4"/>
      <c r="L29" s="209"/>
      <c r="M29" s="209"/>
      <c r="N29" s="209"/>
      <c r="O29" s="209"/>
      <c r="P29" s="209"/>
      <c r="Q29" s="209"/>
    </row>
    <row r="30" spans="9:17" ht="15">
      <c r="I30" s="4"/>
      <c r="J30" s="4"/>
      <c r="L30" s="209"/>
      <c r="M30" s="209"/>
      <c r="N30" s="209"/>
      <c r="O30" s="209"/>
      <c r="P30" s="209"/>
      <c r="Q30" s="209"/>
    </row>
    <row r="31" spans="9:17" ht="15">
      <c r="I31" s="4"/>
      <c r="J31" s="4"/>
      <c r="L31" s="209"/>
      <c r="M31" s="209"/>
      <c r="N31" s="209"/>
      <c r="O31" s="209"/>
      <c r="P31" s="209"/>
      <c r="Q31" s="209"/>
    </row>
    <row r="32" spans="9:17" ht="15">
      <c r="I32" s="4"/>
      <c r="J32" s="4"/>
      <c r="L32" s="209"/>
      <c r="M32" s="209"/>
      <c r="N32" s="209"/>
      <c r="O32" s="209"/>
      <c r="P32" s="209"/>
      <c r="Q32" s="209"/>
    </row>
    <row r="33" spans="9:17" ht="15">
      <c r="I33" s="4"/>
      <c r="J33" s="4"/>
      <c r="L33" s="209"/>
      <c r="M33" s="209"/>
      <c r="N33" s="209"/>
      <c r="O33" s="209"/>
      <c r="P33" s="209"/>
      <c r="Q33" s="209"/>
    </row>
    <row r="34" spans="9:17" ht="15">
      <c r="I34" s="4"/>
      <c r="J34" s="4"/>
      <c r="L34" s="209"/>
      <c r="M34" s="209"/>
      <c r="N34" s="209"/>
      <c r="O34" s="209"/>
      <c r="P34" s="209"/>
      <c r="Q34" s="209"/>
    </row>
    <row r="35" spans="9:17" ht="15">
      <c r="I35" s="4"/>
      <c r="J35" s="4"/>
      <c r="L35" s="209"/>
      <c r="M35" s="209"/>
      <c r="N35" s="209"/>
      <c r="O35" s="209"/>
      <c r="P35" s="209"/>
      <c r="Q35" s="209"/>
    </row>
    <row r="36" spans="9:17" ht="15">
      <c r="I36" s="4"/>
      <c r="J36" s="4"/>
      <c r="L36" s="209"/>
      <c r="M36" s="209"/>
      <c r="N36" s="209"/>
      <c r="O36" s="209"/>
      <c r="P36" s="209"/>
      <c r="Q36" s="209"/>
    </row>
    <row r="37" spans="9:17" ht="15">
      <c r="I37" s="4"/>
      <c r="J37" s="4"/>
      <c r="L37" s="209"/>
      <c r="M37" s="209"/>
      <c r="N37" s="209"/>
      <c r="O37" s="209"/>
      <c r="P37" s="209"/>
      <c r="Q37" s="209"/>
    </row>
    <row r="38" spans="9:17" ht="15">
      <c r="I38" s="4"/>
      <c r="J38" s="4"/>
      <c r="L38" s="209"/>
      <c r="M38" s="209"/>
      <c r="N38" s="209"/>
      <c r="O38" s="209"/>
      <c r="P38" s="209"/>
      <c r="Q38" s="209"/>
    </row>
    <row r="39" spans="9:17" ht="15">
      <c r="I39" s="4"/>
      <c r="J39" s="4"/>
      <c r="L39" s="209"/>
      <c r="M39" s="209"/>
      <c r="N39" s="209"/>
      <c r="O39" s="209"/>
      <c r="P39" s="209"/>
      <c r="Q39" s="209"/>
    </row>
    <row r="40" spans="9:17" ht="15">
      <c r="I40" s="4"/>
      <c r="J40" s="4"/>
      <c r="L40" s="209"/>
      <c r="M40" s="209"/>
      <c r="N40" s="209"/>
      <c r="O40" s="209"/>
      <c r="P40" s="209"/>
      <c r="Q40" s="209"/>
    </row>
    <row r="41" spans="9:17" ht="15">
      <c r="I41" s="4"/>
      <c r="J41" s="4"/>
      <c r="L41" s="209"/>
      <c r="M41" s="209"/>
      <c r="N41" s="209"/>
      <c r="O41" s="209"/>
      <c r="P41" s="209"/>
      <c r="Q41" s="209"/>
    </row>
    <row r="42" spans="9:17" ht="15">
      <c r="I42" s="4"/>
      <c r="J42" s="4"/>
      <c r="L42" s="209"/>
      <c r="M42" s="209"/>
      <c r="N42" s="209"/>
      <c r="O42" s="209"/>
      <c r="P42" s="209"/>
      <c r="Q42" s="209"/>
    </row>
    <row r="43" spans="9:17" ht="15">
      <c r="I43" s="4"/>
      <c r="J43" s="4"/>
      <c r="L43" s="209"/>
      <c r="M43" s="209"/>
      <c r="N43" s="209"/>
      <c r="O43" s="209"/>
      <c r="P43" s="209"/>
      <c r="Q43" s="209"/>
    </row>
    <row r="44" spans="9:17" ht="15">
      <c r="I44" s="4"/>
      <c r="J44" s="4"/>
      <c r="L44" s="209"/>
      <c r="M44" s="209"/>
      <c r="N44" s="209"/>
      <c r="O44" s="209"/>
      <c r="P44" s="209"/>
      <c r="Q44" s="209"/>
    </row>
    <row r="45" spans="9:17" ht="15">
      <c r="I45" s="4"/>
      <c r="J45" s="4"/>
      <c r="L45" s="209"/>
      <c r="M45" s="209"/>
      <c r="N45" s="209"/>
      <c r="O45" s="209"/>
      <c r="P45" s="209"/>
      <c r="Q45" s="209"/>
    </row>
    <row r="46" spans="9:17" ht="15">
      <c r="I46" s="4"/>
      <c r="J46" s="4"/>
      <c r="L46" s="209"/>
      <c r="M46" s="209"/>
      <c r="N46" s="209"/>
      <c r="O46" s="209"/>
      <c r="P46" s="209"/>
      <c r="Q46" s="209"/>
    </row>
    <row r="47" spans="9:17" ht="15">
      <c r="I47" s="4"/>
      <c r="J47" s="4"/>
      <c r="L47" s="209"/>
      <c r="M47" s="209"/>
      <c r="N47" s="209"/>
      <c r="O47" s="209"/>
      <c r="P47" s="209"/>
      <c r="Q47" s="209"/>
    </row>
    <row r="48" spans="9:17" ht="15">
      <c r="I48" s="4"/>
      <c r="J48" s="4"/>
      <c r="L48" s="209"/>
      <c r="M48" s="209"/>
      <c r="N48" s="209"/>
      <c r="O48" s="209"/>
      <c r="P48" s="209"/>
      <c r="Q48" s="209"/>
    </row>
    <row r="49" spans="9:17" ht="15">
      <c r="I49" s="4"/>
      <c r="J49" s="4"/>
      <c r="L49" s="209"/>
      <c r="M49" s="209"/>
      <c r="N49" s="209"/>
      <c r="O49" s="209"/>
      <c r="P49" s="209"/>
      <c r="Q49" s="209"/>
    </row>
    <row r="50" spans="9:17" ht="15">
      <c r="I50" s="4"/>
      <c r="J50" s="4"/>
      <c r="L50" s="209"/>
      <c r="M50" s="209"/>
      <c r="N50" s="209"/>
      <c r="O50" s="209"/>
      <c r="P50" s="209"/>
      <c r="Q50" s="209"/>
    </row>
    <row r="51" spans="9:17" ht="15">
      <c r="I51" s="4"/>
      <c r="J51" s="4"/>
      <c r="L51" s="209"/>
      <c r="M51" s="209"/>
      <c r="N51" s="209"/>
      <c r="O51" s="209"/>
      <c r="P51" s="209"/>
      <c r="Q51" s="209"/>
    </row>
    <row r="52" spans="9:17" ht="15">
      <c r="I52" s="4"/>
      <c r="J52" s="4"/>
      <c r="L52" s="209"/>
      <c r="M52" s="209"/>
      <c r="N52" s="209"/>
      <c r="O52" s="209"/>
      <c r="P52" s="209"/>
      <c r="Q52" s="209"/>
    </row>
    <row r="53" spans="9:17" ht="15">
      <c r="I53" s="4"/>
      <c r="J53" s="4"/>
      <c r="L53" s="209"/>
      <c r="M53" s="209"/>
      <c r="N53" s="209"/>
      <c r="O53" s="209"/>
      <c r="P53" s="209"/>
      <c r="Q53" s="209"/>
    </row>
    <row r="54" spans="9:17" ht="15">
      <c r="I54" s="4"/>
      <c r="J54" s="4"/>
      <c r="L54" s="209"/>
      <c r="M54" s="209"/>
      <c r="N54" s="209"/>
      <c r="O54" s="209"/>
      <c r="P54" s="209"/>
      <c r="Q54" s="209"/>
    </row>
    <row r="55" spans="9:17" ht="15">
      <c r="I55" s="4"/>
      <c r="J55" s="4"/>
      <c r="L55" s="209"/>
      <c r="M55" s="209"/>
      <c r="N55" s="209"/>
      <c r="O55" s="209"/>
      <c r="P55" s="209"/>
      <c r="Q55" s="209"/>
    </row>
    <row r="56" spans="9:17" ht="15">
      <c r="I56" s="4"/>
      <c r="J56" s="4"/>
      <c r="L56" s="209"/>
      <c r="M56" s="209"/>
      <c r="N56" s="209"/>
      <c r="O56" s="209"/>
      <c r="P56" s="209"/>
      <c r="Q56" s="209"/>
    </row>
    <row r="57" spans="9:17" ht="15">
      <c r="I57" s="4"/>
      <c r="J57" s="4"/>
      <c r="L57" s="209"/>
      <c r="M57" s="209"/>
      <c r="N57" s="209"/>
      <c r="O57" s="209"/>
      <c r="P57" s="209"/>
      <c r="Q57" s="209"/>
    </row>
    <row r="58" spans="9:17" ht="15">
      <c r="I58" s="4"/>
      <c r="J58" s="4"/>
      <c r="L58" s="209"/>
      <c r="M58" s="209"/>
      <c r="N58" s="209"/>
      <c r="O58" s="209"/>
      <c r="P58" s="209"/>
      <c r="Q58" s="209"/>
    </row>
    <row r="59" spans="9:17" ht="15">
      <c r="I59" s="4"/>
      <c r="J59" s="4"/>
      <c r="L59" s="209"/>
      <c r="M59" s="209"/>
      <c r="N59" s="209"/>
      <c r="O59" s="209"/>
      <c r="P59" s="209"/>
      <c r="Q59" s="209"/>
    </row>
    <row r="60" spans="9:17" ht="15">
      <c r="I60" s="4"/>
      <c r="J60" s="4"/>
      <c r="L60" s="209"/>
      <c r="M60" s="209"/>
      <c r="N60" s="209"/>
      <c r="O60" s="209"/>
      <c r="P60" s="209"/>
      <c r="Q60" s="209"/>
    </row>
    <row r="61" spans="9:17" ht="15">
      <c r="I61" s="4"/>
      <c r="J61" s="4"/>
      <c r="L61" s="209"/>
      <c r="M61" s="209"/>
      <c r="N61" s="209"/>
      <c r="O61" s="209"/>
      <c r="P61" s="209"/>
      <c r="Q61" s="209"/>
    </row>
    <row r="62" spans="9:17" ht="15">
      <c r="I62" s="4"/>
      <c r="J62" s="4"/>
      <c r="L62" s="209"/>
      <c r="M62" s="209"/>
      <c r="N62" s="209"/>
      <c r="O62" s="209"/>
      <c r="P62" s="209"/>
      <c r="Q62" s="209"/>
    </row>
    <row r="63" spans="9:17" ht="15">
      <c r="I63" s="4"/>
      <c r="J63" s="4"/>
      <c r="L63" s="209"/>
      <c r="M63" s="209"/>
      <c r="N63" s="209"/>
      <c r="O63" s="209"/>
      <c r="P63" s="209"/>
      <c r="Q63" s="209"/>
    </row>
    <row r="64" spans="9:17" ht="15">
      <c r="I64" s="4"/>
      <c r="J64" s="4"/>
      <c r="L64" s="209"/>
      <c r="M64" s="209"/>
      <c r="N64" s="209"/>
      <c r="O64" s="209"/>
      <c r="P64" s="209"/>
      <c r="Q64" s="209"/>
    </row>
    <row r="65" spans="9:17" ht="15">
      <c r="I65" s="4"/>
      <c r="J65" s="4"/>
      <c r="L65" s="209"/>
      <c r="M65" s="209"/>
      <c r="N65" s="209"/>
      <c r="O65" s="209"/>
      <c r="P65" s="209"/>
      <c r="Q65" s="209"/>
    </row>
    <row r="66" spans="9:17" ht="15">
      <c r="I66" s="4"/>
      <c r="J66" s="4"/>
      <c r="L66" s="209"/>
      <c r="M66" s="209"/>
      <c r="N66" s="209"/>
      <c r="O66" s="209"/>
      <c r="P66" s="209"/>
      <c r="Q66" s="209"/>
    </row>
    <row r="67" spans="9:17" ht="15">
      <c r="I67" s="4"/>
      <c r="J67" s="4"/>
      <c r="L67" s="209"/>
      <c r="M67" s="209"/>
      <c r="N67" s="209"/>
      <c r="O67" s="209"/>
      <c r="P67" s="209"/>
      <c r="Q67" s="209"/>
    </row>
    <row r="68" spans="9:10" ht="15">
      <c r="I68" s="4"/>
      <c r="J68" s="4"/>
    </row>
    <row r="69" spans="9:10" ht="15">
      <c r="I69" s="4"/>
      <c r="J69" s="4"/>
    </row>
    <row r="70" spans="9:10" ht="15">
      <c r="I70" s="4"/>
      <c r="J70" s="4"/>
    </row>
    <row r="71" spans="9:10" ht="15">
      <c r="I71" s="4"/>
      <c r="J71" s="4"/>
    </row>
    <row r="72" spans="9:10" ht="15">
      <c r="I72" s="4"/>
      <c r="J72" s="4"/>
    </row>
    <row r="73" spans="9:10" ht="15">
      <c r="I73" s="4"/>
      <c r="J73" s="4"/>
    </row>
    <row r="74" spans="9:10" ht="15">
      <c r="I74" s="4"/>
      <c r="J74" s="4"/>
    </row>
    <row r="75" spans="9:10" ht="15">
      <c r="I75" s="4"/>
      <c r="J75" s="4"/>
    </row>
    <row r="76" spans="9:10" ht="15">
      <c r="I76" s="4"/>
      <c r="J76" s="4"/>
    </row>
    <row r="77" spans="9:10" ht="15">
      <c r="I77" s="4"/>
      <c r="J77" s="4"/>
    </row>
    <row r="78" spans="9:10" ht="15">
      <c r="I78" s="4"/>
      <c r="J78" s="4"/>
    </row>
    <row r="79" spans="9:10" ht="15">
      <c r="I79" s="4"/>
      <c r="J79" s="4"/>
    </row>
    <row r="80" spans="9:10" ht="15">
      <c r="I80" s="4"/>
      <c r="J80" s="4"/>
    </row>
    <row r="81" spans="9:10" ht="15">
      <c r="I81" s="4"/>
      <c r="J81" s="4"/>
    </row>
    <row r="82" spans="9:10" ht="15">
      <c r="I82" s="4"/>
      <c r="J82" s="4"/>
    </row>
    <row r="83" spans="9:10" ht="15">
      <c r="I83" s="4"/>
      <c r="J83" s="4"/>
    </row>
    <row r="84" spans="9:10" ht="15">
      <c r="I84" s="4"/>
      <c r="J84" s="4"/>
    </row>
    <row r="85" spans="9:10" ht="15">
      <c r="I85" s="4"/>
      <c r="J85" s="4"/>
    </row>
    <row r="86" spans="9:10" ht="15">
      <c r="I86" s="4"/>
      <c r="J86" s="4"/>
    </row>
    <row r="87" spans="9:10" ht="15">
      <c r="I87" s="4"/>
      <c r="J87" s="4"/>
    </row>
    <row r="88" spans="9:10" ht="15">
      <c r="I88" s="4"/>
      <c r="J88" s="4"/>
    </row>
    <row r="89" spans="9:10" ht="15">
      <c r="I89" s="4"/>
      <c r="J89" s="4"/>
    </row>
    <row r="90" spans="9:10" ht="15">
      <c r="I90" s="4"/>
      <c r="J90" s="4"/>
    </row>
    <row r="91" spans="9:10" ht="15">
      <c r="I91" s="4"/>
      <c r="J91" s="4"/>
    </row>
    <row r="92" spans="9:10" ht="15">
      <c r="I92" s="4"/>
      <c r="J92" s="4"/>
    </row>
    <row r="93" spans="9:10" ht="15">
      <c r="I93" s="4"/>
      <c r="J93" s="4"/>
    </row>
    <row r="94" spans="9:10" ht="15">
      <c r="I94" s="4"/>
      <c r="J94" s="4"/>
    </row>
    <row r="95" spans="9:10" ht="15">
      <c r="I95" s="4"/>
      <c r="J95" s="4"/>
    </row>
    <row r="96" spans="9:10" ht="15">
      <c r="I96" s="4"/>
      <c r="J96" s="4"/>
    </row>
    <row r="97" spans="9:10" ht="15">
      <c r="I97" s="4"/>
      <c r="J97" s="4"/>
    </row>
    <row r="98" spans="9:10" ht="15">
      <c r="I98" s="4"/>
      <c r="J98" s="4"/>
    </row>
    <row r="99" spans="9:10" ht="15">
      <c r="I99" s="4"/>
      <c r="J99" s="4"/>
    </row>
    <row r="100" spans="9:10" ht="15">
      <c r="I100" s="4"/>
      <c r="J100" s="4"/>
    </row>
    <row r="101" spans="9:10" ht="15">
      <c r="I101" s="4"/>
      <c r="J101" s="4"/>
    </row>
    <row r="102" spans="9:10" ht="15">
      <c r="I102" s="4"/>
      <c r="J102" s="4"/>
    </row>
    <row r="103" spans="9:10" ht="15">
      <c r="I103" s="4"/>
      <c r="J103" s="4"/>
    </row>
    <row r="104" spans="9:10" ht="15">
      <c r="I104" s="4"/>
      <c r="J104" s="4"/>
    </row>
    <row r="105" spans="9:10" ht="15">
      <c r="I105" s="4"/>
      <c r="J105" s="4"/>
    </row>
    <row r="106" spans="9:10" ht="15">
      <c r="I106" s="4"/>
      <c r="J106" s="4"/>
    </row>
    <row r="107" spans="9:10" ht="15">
      <c r="I107" s="4"/>
      <c r="J107" s="4"/>
    </row>
    <row r="108" spans="9:10" ht="15">
      <c r="I108" s="4"/>
      <c r="J108" s="4"/>
    </row>
    <row r="109" spans="9:10" ht="15">
      <c r="I109" s="4"/>
      <c r="J109" s="4"/>
    </row>
    <row r="110" spans="9:10" ht="15">
      <c r="I110" s="4"/>
      <c r="J110" s="4"/>
    </row>
    <row r="111" spans="9:10" ht="15">
      <c r="I111" s="4"/>
      <c r="J111" s="4"/>
    </row>
    <row r="112" spans="9:10" ht="15">
      <c r="I112" s="4"/>
      <c r="J112" s="4"/>
    </row>
    <row r="113" spans="9:10" ht="15">
      <c r="I113" s="4"/>
      <c r="J113" s="4"/>
    </row>
    <row r="114" spans="9:10" ht="15">
      <c r="I114" s="4"/>
      <c r="J114" s="4"/>
    </row>
    <row r="115" spans="9:10" ht="15">
      <c r="I115" s="4"/>
      <c r="J115" s="4"/>
    </row>
    <row r="116" spans="9:10" ht="15">
      <c r="I116" s="4"/>
      <c r="J116" s="4"/>
    </row>
    <row r="117" spans="9:10" ht="15">
      <c r="I117" s="4"/>
      <c r="J117" s="4"/>
    </row>
    <row r="118" spans="9:10" ht="15">
      <c r="I118" s="4"/>
      <c r="J118" s="4"/>
    </row>
    <row r="119" spans="9:10" ht="15">
      <c r="I119" s="4"/>
      <c r="J119" s="4"/>
    </row>
    <row r="120" spans="9:10" ht="15">
      <c r="I120" s="4"/>
      <c r="J120" s="4"/>
    </row>
    <row r="121" spans="9:10" ht="15">
      <c r="I121" s="4"/>
      <c r="J121" s="4"/>
    </row>
    <row r="122" spans="9:10" ht="15">
      <c r="I122" s="4"/>
      <c r="J122" s="4"/>
    </row>
    <row r="123" spans="9:10" ht="15">
      <c r="I123" s="4"/>
      <c r="J123" s="4"/>
    </row>
    <row r="124" spans="9:10" ht="15">
      <c r="I124" s="4"/>
      <c r="J124" s="4"/>
    </row>
    <row r="125" spans="9:10" ht="15">
      <c r="I125" s="4"/>
      <c r="J125" s="4"/>
    </row>
  </sheetData>
  <sheetProtection/>
  <mergeCells count="21">
    <mergeCell ref="P4:R4"/>
    <mergeCell ref="S4:T4"/>
    <mergeCell ref="AH3:AM3"/>
    <mergeCell ref="AA4:AC4"/>
    <mergeCell ref="U4:Z4"/>
    <mergeCell ref="I4:J4"/>
    <mergeCell ref="AD4:AG4"/>
    <mergeCell ref="P3:Z3"/>
    <mergeCell ref="AA3:AG3"/>
    <mergeCell ref="K4:M4"/>
    <mergeCell ref="K3:O3"/>
    <mergeCell ref="B2:E2"/>
    <mergeCell ref="G2:AO2"/>
    <mergeCell ref="AH4:AI4"/>
    <mergeCell ref="AJ4:AK4"/>
    <mergeCell ref="AN3:AO3"/>
    <mergeCell ref="N4:O4"/>
    <mergeCell ref="D4:E4"/>
    <mergeCell ref="G4:H4"/>
    <mergeCell ref="G3:J3"/>
    <mergeCell ref="B4:C4"/>
  </mergeCells>
  <printOptions/>
  <pageMargins left="0.7" right="0.7" top="0.75" bottom="0.75" header="0.3" footer="0.3"/>
  <pageSetup fitToHeight="0" fitToWidth="1" horizontalDpi="600" verticalDpi="600" orientation="landscape" paperSize="3" scale="40" r:id="rId1"/>
</worksheet>
</file>

<file path=xl/worksheets/sheet2.xml><?xml version="1.0" encoding="utf-8"?>
<worksheet xmlns="http://schemas.openxmlformats.org/spreadsheetml/2006/main" xmlns:r="http://schemas.openxmlformats.org/officeDocument/2006/relationships">
  <dimension ref="A1:AQ32"/>
  <sheetViews>
    <sheetView zoomScale="70" zoomScaleNormal="70" zoomScalePageLayoutView="0" workbookViewId="0" topLeftCell="A1">
      <pane xSplit="1" ySplit="9" topLeftCell="B10" activePane="bottomRight" state="frozen"/>
      <selection pane="topLeft" activeCell="A1" sqref="A1"/>
      <selection pane="topRight" activeCell="B1" sqref="B1"/>
      <selection pane="bottomLeft" activeCell="A12" sqref="A12"/>
      <selection pane="bottomRight" activeCell="B10" sqref="B10"/>
    </sheetView>
  </sheetViews>
  <sheetFormatPr defaultColWidth="8.88671875" defaultRowHeight="15"/>
  <cols>
    <col min="1" max="1" width="22.88671875" style="0" bestFit="1" customWidth="1"/>
    <col min="2" max="2" width="9.4453125" style="0" bestFit="1" customWidth="1"/>
    <col min="3" max="3" width="10.99609375" style="0" bestFit="1" customWidth="1"/>
    <col min="4" max="4" width="11.21484375" style="0" bestFit="1" customWidth="1"/>
    <col min="5" max="5" width="12.3359375" style="0" bestFit="1" customWidth="1"/>
    <col min="6" max="6" width="9.4453125" style="0" bestFit="1" customWidth="1"/>
    <col min="7" max="7" width="9.99609375" style="0" bestFit="1" customWidth="1"/>
    <col min="8" max="8" width="6.5546875" style="0" bestFit="1" customWidth="1"/>
    <col min="9" max="9" width="10.88671875" style="0" bestFit="1" customWidth="1"/>
    <col min="10" max="10" width="9.4453125" style="0" bestFit="1" customWidth="1"/>
    <col min="11" max="11" width="10.99609375" style="0" bestFit="1" customWidth="1"/>
    <col min="12" max="12" width="6.5546875" style="0" bestFit="1" customWidth="1"/>
    <col min="13" max="13" width="12.3359375" style="0" bestFit="1" customWidth="1"/>
    <col min="14" max="14" width="9.4453125" style="0" bestFit="1" customWidth="1"/>
    <col min="15" max="15" width="10.99609375" style="0" bestFit="1" customWidth="1"/>
    <col min="16" max="16" width="6.5546875" style="0" bestFit="1" customWidth="1"/>
    <col min="17" max="17" width="12.3359375" style="0" bestFit="1" customWidth="1"/>
    <col min="18" max="18" width="9.4453125" style="0" bestFit="1" customWidth="1"/>
    <col min="19" max="19" width="9.99609375" style="0" bestFit="1" customWidth="1"/>
    <col min="20" max="20" width="5.10546875" style="0" bestFit="1" customWidth="1"/>
    <col min="21" max="21" width="10.88671875" style="0" bestFit="1" customWidth="1"/>
    <col min="22" max="22" width="9.4453125" style="0" bestFit="1" customWidth="1"/>
    <col min="23" max="23" width="9.99609375" style="0" bestFit="1" customWidth="1"/>
    <col min="24" max="24" width="6.5546875" style="0" bestFit="1" customWidth="1"/>
    <col min="25" max="25" width="10.88671875" style="0" bestFit="1" customWidth="1"/>
    <col min="26" max="26" width="9.4453125" style="0" bestFit="1" customWidth="1"/>
    <col min="27" max="27" width="11.88671875" style="0" customWidth="1"/>
    <col min="28" max="28" width="7.5546875" style="0" bestFit="1" customWidth="1"/>
    <col min="29" max="29" width="14.3359375" style="0" customWidth="1"/>
    <col min="30" max="30" width="9.4453125" style="0" bestFit="1" customWidth="1"/>
    <col min="31" max="31" width="10.99609375" style="0" bestFit="1" customWidth="1"/>
    <col min="32" max="32" width="7.5546875" style="0" bestFit="1" customWidth="1"/>
    <col min="33" max="33" width="12.3359375" style="0" bestFit="1" customWidth="1"/>
    <col min="34" max="34" width="12.88671875" style="0" bestFit="1" customWidth="1"/>
    <col min="35" max="35" width="8.5546875" style="0" bestFit="1" customWidth="1"/>
    <col min="36" max="36" width="6.5546875" style="0" bestFit="1" customWidth="1"/>
    <col min="37" max="37" width="9.77734375" style="0" bestFit="1" customWidth="1"/>
    <col min="38" max="38" width="10.88671875" style="0" bestFit="1" customWidth="1"/>
    <col min="39" max="39" width="9.4453125" style="0" bestFit="1" customWidth="1"/>
    <col min="40" max="40" width="11.99609375" style="0" bestFit="1" customWidth="1"/>
    <col min="41" max="41" width="7.5546875" style="0" bestFit="1" customWidth="1"/>
    <col min="42" max="42" width="13.4453125" style="0" bestFit="1" customWidth="1"/>
    <col min="43" max="43" width="7.4453125" style="0" bestFit="1" customWidth="1"/>
  </cols>
  <sheetData>
    <row r="1" spans="2:41" ht="1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row>
    <row r="2" spans="1:43" ht="35.25" customHeight="1">
      <c r="A2" s="81" t="s">
        <v>132</v>
      </c>
      <c r="B2" s="285" t="s">
        <v>0</v>
      </c>
      <c r="C2" s="286"/>
      <c r="D2" s="286"/>
      <c r="E2" s="287"/>
      <c r="F2" s="285" t="s">
        <v>16</v>
      </c>
      <c r="G2" s="286"/>
      <c r="H2" s="286"/>
      <c r="I2" s="287"/>
      <c r="J2" s="285" t="s">
        <v>1</v>
      </c>
      <c r="K2" s="286"/>
      <c r="L2" s="286"/>
      <c r="M2" s="287"/>
      <c r="N2" s="285" t="s">
        <v>17</v>
      </c>
      <c r="O2" s="286"/>
      <c r="P2" s="286"/>
      <c r="Q2" s="287"/>
      <c r="R2" s="285" t="s">
        <v>36</v>
      </c>
      <c r="S2" s="286"/>
      <c r="T2" s="286"/>
      <c r="U2" s="287"/>
      <c r="V2" s="285" t="s">
        <v>37</v>
      </c>
      <c r="W2" s="286"/>
      <c r="X2" s="286"/>
      <c r="Y2" s="287"/>
      <c r="Z2" s="285" t="s">
        <v>38</v>
      </c>
      <c r="AA2" s="286"/>
      <c r="AB2" s="286"/>
      <c r="AC2" s="287"/>
      <c r="AD2" s="285" t="s">
        <v>201</v>
      </c>
      <c r="AE2" s="286"/>
      <c r="AF2" s="286"/>
      <c r="AG2" s="287"/>
      <c r="AH2" s="285" t="s">
        <v>2</v>
      </c>
      <c r="AI2" s="286"/>
      <c r="AJ2" s="286"/>
      <c r="AK2" s="286"/>
      <c r="AL2" s="286"/>
      <c r="AM2" s="285" t="s">
        <v>24</v>
      </c>
      <c r="AN2" s="286"/>
      <c r="AO2" s="286"/>
      <c r="AP2" s="286"/>
      <c r="AQ2" s="277"/>
    </row>
    <row r="3" spans="1:43" ht="6" customHeight="1">
      <c r="A3" s="82"/>
      <c r="B3" s="12"/>
      <c r="C3" s="13"/>
      <c r="D3" s="13"/>
      <c r="E3" s="14"/>
      <c r="F3" s="12"/>
      <c r="G3" s="13"/>
      <c r="H3" s="13"/>
      <c r="I3" s="14"/>
      <c r="J3" s="12"/>
      <c r="K3" s="13"/>
      <c r="L3" s="13"/>
      <c r="M3" s="14"/>
      <c r="N3" s="12"/>
      <c r="O3" s="13"/>
      <c r="P3" s="13"/>
      <c r="Q3" s="14"/>
      <c r="R3" s="12"/>
      <c r="S3" s="13"/>
      <c r="T3" s="13"/>
      <c r="U3" s="14"/>
      <c r="V3" s="12"/>
      <c r="W3" s="13"/>
      <c r="X3" s="13"/>
      <c r="Y3" s="14"/>
      <c r="Z3" s="12"/>
      <c r="AA3" s="13"/>
      <c r="AB3" s="13"/>
      <c r="AC3" s="14"/>
      <c r="AD3" s="12"/>
      <c r="AE3" s="13"/>
      <c r="AF3" s="13"/>
      <c r="AG3" s="14"/>
      <c r="AH3" s="12"/>
      <c r="AI3" s="13"/>
      <c r="AJ3" s="13"/>
      <c r="AK3" s="13"/>
      <c r="AL3" s="13"/>
      <c r="AM3" s="12"/>
      <c r="AN3" s="13"/>
      <c r="AO3" s="13"/>
      <c r="AP3" s="13"/>
      <c r="AQ3" s="14"/>
    </row>
    <row r="4" spans="1:43" ht="15.75">
      <c r="A4" s="83" t="s">
        <v>32</v>
      </c>
      <c r="B4" s="15"/>
      <c r="C4" s="13"/>
      <c r="D4" s="13"/>
      <c r="E4" s="16">
        <v>10.83</v>
      </c>
      <c r="F4" s="15"/>
      <c r="G4" s="13"/>
      <c r="H4" s="13"/>
      <c r="I4" s="16">
        <v>12.65</v>
      </c>
      <c r="J4" s="12"/>
      <c r="K4" s="13"/>
      <c r="L4" s="13"/>
      <c r="M4" s="16">
        <v>0</v>
      </c>
      <c r="N4" s="12"/>
      <c r="O4" s="13"/>
      <c r="P4" s="13"/>
      <c r="Q4" s="16">
        <v>0</v>
      </c>
      <c r="R4" s="12"/>
      <c r="S4" s="13"/>
      <c r="T4" s="13"/>
      <c r="U4" s="16">
        <v>0</v>
      </c>
      <c r="V4" s="12"/>
      <c r="W4" s="13"/>
      <c r="X4" s="13"/>
      <c r="Y4" s="16">
        <v>0</v>
      </c>
      <c r="Z4" s="12"/>
      <c r="AA4" s="13"/>
      <c r="AB4" s="13"/>
      <c r="AC4" s="16">
        <v>0</v>
      </c>
      <c r="AD4" s="12"/>
      <c r="AE4" s="13"/>
      <c r="AF4" s="13"/>
      <c r="AG4" s="16">
        <v>0</v>
      </c>
      <c r="AH4" s="32" t="s">
        <v>217</v>
      </c>
      <c r="AI4" s="13"/>
      <c r="AJ4" s="13"/>
      <c r="AK4" s="13"/>
      <c r="AL4" s="42">
        <v>23.56</v>
      </c>
      <c r="AM4" s="12"/>
      <c r="AN4" s="13"/>
      <c r="AO4" s="13"/>
      <c r="AP4" s="42"/>
      <c r="AQ4" s="14"/>
    </row>
    <row r="5" spans="1:43" ht="15.75">
      <c r="A5" s="83" t="s">
        <v>35</v>
      </c>
      <c r="B5" s="15"/>
      <c r="C5" s="13"/>
      <c r="D5" s="13"/>
      <c r="E5" s="14">
        <v>14.251</v>
      </c>
      <c r="F5" s="15"/>
      <c r="G5" s="13"/>
      <c r="H5" s="13"/>
      <c r="I5" s="14">
        <v>15.092</v>
      </c>
      <c r="J5" s="12"/>
      <c r="K5" s="13"/>
      <c r="L5" s="13"/>
      <c r="M5" s="14">
        <v>11.208</v>
      </c>
      <c r="N5" s="12"/>
      <c r="O5" s="13"/>
      <c r="P5" s="13"/>
      <c r="Q5" s="14">
        <v>8.029</v>
      </c>
      <c r="R5" s="12"/>
      <c r="S5" s="13"/>
      <c r="T5" s="13"/>
      <c r="U5" s="14">
        <v>10.09</v>
      </c>
      <c r="V5" s="12"/>
      <c r="W5" s="13"/>
      <c r="X5" s="13"/>
      <c r="Y5" s="14">
        <v>7.2410000000000005</v>
      </c>
      <c r="Z5" s="12"/>
      <c r="AA5" s="13"/>
      <c r="AB5" s="13"/>
      <c r="AC5" s="14">
        <v>7.619999999999999</v>
      </c>
      <c r="AD5" s="12"/>
      <c r="AE5" s="13"/>
      <c r="AF5" s="13"/>
      <c r="AG5" s="14">
        <v>7.619999999999999</v>
      </c>
      <c r="AH5" s="32" t="s">
        <v>40</v>
      </c>
      <c r="AI5" s="13"/>
      <c r="AJ5" s="13"/>
      <c r="AK5" s="13"/>
      <c r="AL5" s="13">
        <v>0</v>
      </c>
      <c r="AM5" s="12"/>
      <c r="AN5" s="13"/>
      <c r="AO5" s="13"/>
      <c r="AP5" s="13"/>
      <c r="AQ5" s="14"/>
    </row>
    <row r="6" spans="1:43" ht="15.75">
      <c r="A6" s="83" t="s">
        <v>33</v>
      </c>
      <c r="B6" s="15"/>
      <c r="C6" s="13"/>
      <c r="D6" s="13"/>
      <c r="E6" s="14">
        <v>14.251</v>
      </c>
      <c r="F6" s="15"/>
      <c r="G6" s="13"/>
      <c r="H6" s="13"/>
      <c r="I6" s="14">
        <v>13.278</v>
      </c>
      <c r="J6" s="12"/>
      <c r="K6" s="13"/>
      <c r="L6" s="13"/>
      <c r="M6" s="14">
        <v>7.929</v>
      </c>
      <c r="N6" s="12"/>
      <c r="O6" s="13"/>
      <c r="P6" s="13"/>
      <c r="Q6" s="14">
        <v>8.029</v>
      </c>
      <c r="R6" s="12"/>
      <c r="S6" s="13"/>
      <c r="T6" s="13"/>
      <c r="U6" s="14">
        <v>7.707</v>
      </c>
      <c r="V6" s="12"/>
      <c r="W6" s="13"/>
      <c r="X6" s="13"/>
      <c r="Y6" s="14">
        <v>7.2410000000000005</v>
      </c>
      <c r="Z6" s="12"/>
      <c r="AA6" s="13"/>
      <c r="AB6" s="13"/>
      <c r="AC6" s="14">
        <v>7.619999999999999</v>
      </c>
      <c r="AD6" s="12"/>
      <c r="AE6" s="13"/>
      <c r="AF6" s="13"/>
      <c r="AG6" s="14">
        <v>7.619999999999999</v>
      </c>
      <c r="AH6" s="15" t="s">
        <v>182</v>
      </c>
      <c r="AI6" s="13"/>
      <c r="AJ6" s="13"/>
      <c r="AK6" s="13"/>
      <c r="AL6" s="13">
        <v>0</v>
      </c>
      <c r="AM6" s="12"/>
      <c r="AN6" s="13"/>
      <c r="AO6" s="13"/>
      <c r="AP6" s="13"/>
      <c r="AQ6" s="14"/>
    </row>
    <row r="7" spans="1:43" ht="15.75">
      <c r="A7" s="83" t="s">
        <v>34</v>
      </c>
      <c r="B7" s="15"/>
      <c r="C7" s="13"/>
      <c r="D7" s="13"/>
      <c r="E7" s="17">
        <v>0</v>
      </c>
      <c r="F7" s="27"/>
      <c r="G7" s="28"/>
      <c r="H7" s="28"/>
      <c r="I7" s="17">
        <v>0</v>
      </c>
      <c r="J7" s="12"/>
      <c r="K7" s="13"/>
      <c r="L7" s="13"/>
      <c r="M7" s="17">
        <v>10.497</v>
      </c>
      <c r="N7" s="12"/>
      <c r="O7" s="13"/>
      <c r="P7" s="13"/>
      <c r="Q7" s="17">
        <v>13.345</v>
      </c>
      <c r="R7" s="12"/>
      <c r="S7" s="13"/>
      <c r="T7" s="13"/>
      <c r="U7" s="17">
        <v>7.714</v>
      </c>
      <c r="V7" s="12"/>
      <c r="W7" s="13"/>
      <c r="X7" s="13"/>
      <c r="Y7" s="17">
        <v>12.501</v>
      </c>
      <c r="Z7" s="12"/>
      <c r="AA7" s="13"/>
      <c r="AB7" s="13"/>
      <c r="AC7" s="17">
        <f>11.995</f>
        <v>11.995</v>
      </c>
      <c r="AD7" s="12"/>
      <c r="AE7" s="13"/>
      <c r="AF7" s="13"/>
      <c r="AG7" s="17">
        <f>11.995</f>
        <v>11.995</v>
      </c>
      <c r="AH7" s="15"/>
      <c r="AI7" s="13"/>
      <c r="AJ7" s="13"/>
      <c r="AK7" s="13"/>
      <c r="AL7" s="28">
        <v>0</v>
      </c>
      <c r="AM7" s="12"/>
      <c r="AN7" s="13"/>
      <c r="AO7" s="13"/>
      <c r="AP7" s="28"/>
      <c r="AQ7" s="14"/>
    </row>
    <row r="8" spans="1:43" ht="15.75" customHeight="1">
      <c r="A8" s="82"/>
      <c r="B8" s="12"/>
      <c r="C8" s="13"/>
      <c r="D8" s="13"/>
      <c r="E8" s="14"/>
      <c r="F8" s="12"/>
      <c r="G8" s="13"/>
      <c r="H8" s="13"/>
      <c r="I8" s="14"/>
      <c r="J8" s="12"/>
      <c r="K8" s="13"/>
      <c r="L8" s="13"/>
      <c r="M8" s="14"/>
      <c r="N8" s="12"/>
      <c r="O8" s="13"/>
      <c r="P8" s="13"/>
      <c r="Q8" s="14"/>
      <c r="R8" s="12"/>
      <c r="S8" s="13"/>
      <c r="T8" s="13"/>
      <c r="U8" s="14"/>
      <c r="V8" s="12"/>
      <c r="W8" s="13"/>
      <c r="X8" s="13"/>
      <c r="Y8" s="14"/>
      <c r="Z8" s="12"/>
      <c r="AA8" s="13"/>
      <c r="AB8" s="13"/>
      <c r="AC8" s="14"/>
      <c r="AD8" s="12"/>
      <c r="AE8" s="13"/>
      <c r="AF8" s="13"/>
      <c r="AG8" s="14"/>
      <c r="AH8" s="12"/>
      <c r="AI8" s="13"/>
      <c r="AJ8" s="13"/>
      <c r="AK8" s="13"/>
      <c r="AL8" s="13"/>
      <c r="AM8" s="12"/>
      <c r="AN8" s="13"/>
      <c r="AO8" s="13"/>
      <c r="AP8" s="13"/>
      <c r="AQ8" s="14" t="s">
        <v>73</v>
      </c>
    </row>
    <row r="9" spans="1:43" ht="15">
      <c r="A9" s="84"/>
      <c r="B9" s="12" t="s">
        <v>26</v>
      </c>
      <c r="C9" s="13" t="s">
        <v>29</v>
      </c>
      <c r="D9" s="13" t="s">
        <v>97</v>
      </c>
      <c r="E9" s="14" t="s">
        <v>30</v>
      </c>
      <c r="F9" s="12" t="s">
        <v>26</v>
      </c>
      <c r="G9" s="13" t="s">
        <v>29</v>
      </c>
      <c r="H9" s="13" t="s">
        <v>97</v>
      </c>
      <c r="I9" s="14" t="s">
        <v>30</v>
      </c>
      <c r="J9" s="12" t="s">
        <v>26</v>
      </c>
      <c r="K9" s="13" t="s">
        <v>29</v>
      </c>
      <c r="L9" s="13" t="s">
        <v>97</v>
      </c>
      <c r="M9" s="14" t="s">
        <v>30</v>
      </c>
      <c r="N9" s="12" t="s">
        <v>26</v>
      </c>
      <c r="O9" s="13" t="s">
        <v>29</v>
      </c>
      <c r="P9" s="13" t="s">
        <v>218</v>
      </c>
      <c r="Q9" s="14" t="s">
        <v>30</v>
      </c>
      <c r="R9" s="12" t="s">
        <v>26</v>
      </c>
      <c r="S9" s="13" t="s">
        <v>29</v>
      </c>
      <c r="T9" s="13" t="s">
        <v>218</v>
      </c>
      <c r="U9" s="14" t="s">
        <v>30</v>
      </c>
      <c r="V9" s="12" t="s">
        <v>26</v>
      </c>
      <c r="W9" s="13" t="s">
        <v>29</v>
      </c>
      <c r="X9" s="13" t="s">
        <v>218</v>
      </c>
      <c r="Y9" s="14" t="s">
        <v>30</v>
      </c>
      <c r="Z9" s="12" t="s">
        <v>26</v>
      </c>
      <c r="AA9" s="13" t="s">
        <v>29</v>
      </c>
      <c r="AB9" s="13" t="s">
        <v>218</v>
      </c>
      <c r="AC9" s="14" t="s">
        <v>30</v>
      </c>
      <c r="AD9" s="12" t="s">
        <v>26</v>
      </c>
      <c r="AE9" s="13" t="s">
        <v>29</v>
      </c>
      <c r="AF9" s="13" t="s">
        <v>218</v>
      </c>
      <c r="AG9" s="14" t="s">
        <v>30</v>
      </c>
      <c r="AH9" s="12" t="s">
        <v>26</v>
      </c>
      <c r="AI9" s="13" t="s">
        <v>29</v>
      </c>
      <c r="AJ9" s="13" t="s">
        <v>25</v>
      </c>
      <c r="AK9" s="13" t="s">
        <v>39</v>
      </c>
      <c r="AL9" s="13" t="s">
        <v>30</v>
      </c>
      <c r="AM9" s="12" t="s">
        <v>26</v>
      </c>
      <c r="AN9" s="13" t="s">
        <v>29</v>
      </c>
      <c r="AO9" s="13" t="s">
        <v>97</v>
      </c>
      <c r="AP9" s="13" t="s">
        <v>30</v>
      </c>
      <c r="AQ9" s="14" t="s">
        <v>74</v>
      </c>
    </row>
    <row r="10" spans="2:43" ht="6.75" customHeight="1">
      <c r="B10" s="12"/>
      <c r="C10" s="13"/>
      <c r="D10" s="13"/>
      <c r="E10" s="14"/>
      <c r="F10" s="12"/>
      <c r="G10" s="13"/>
      <c r="H10" s="13"/>
      <c r="I10" s="14"/>
      <c r="J10" s="12"/>
      <c r="K10" s="13"/>
      <c r="L10" s="13"/>
      <c r="M10" s="14"/>
      <c r="N10" s="12"/>
      <c r="O10" s="13"/>
      <c r="P10" s="13"/>
      <c r="Q10" s="14"/>
      <c r="R10" s="12"/>
      <c r="S10" s="13"/>
      <c r="T10" s="13"/>
      <c r="U10" s="14"/>
      <c r="V10" s="12"/>
      <c r="W10" s="13"/>
      <c r="X10" s="13"/>
      <c r="Y10" s="14"/>
      <c r="Z10" s="12"/>
      <c r="AA10" s="13"/>
      <c r="AB10" s="13"/>
      <c r="AC10" s="14"/>
      <c r="AD10" s="12"/>
      <c r="AE10" s="13"/>
      <c r="AF10" s="13"/>
      <c r="AG10" s="14"/>
      <c r="AH10" s="12"/>
      <c r="AI10" s="13"/>
      <c r="AJ10" s="13"/>
      <c r="AK10" s="13"/>
      <c r="AL10" s="13"/>
      <c r="AM10" s="12"/>
      <c r="AN10" s="13"/>
      <c r="AO10" s="13"/>
      <c r="AP10" s="13"/>
      <c r="AQ10" s="14"/>
    </row>
    <row r="11" spans="1:43" ht="15">
      <c r="A11" t="s">
        <v>4</v>
      </c>
      <c r="B11" s="12">
        <f>'Customer Usage database'!C12</f>
        <v>351</v>
      </c>
      <c r="C11" s="18">
        <f>'Customer Usage database'!C28*B11</f>
        <v>392730.77298161516</v>
      </c>
      <c r="D11" s="18">
        <f>'Customer Usage database'!C76*B11</f>
        <v>778.1506752376544</v>
      </c>
      <c r="E11" s="19">
        <f>B11*$E$4+($E$5*MIN(200,C11/B11)+$E$6*MAX(0,C11/B11-200))/100*B11</f>
        <v>59769.392457609974</v>
      </c>
      <c r="F11" s="12">
        <f>'Customer Usage database'!D12</f>
        <v>31</v>
      </c>
      <c r="G11" s="18">
        <f>'Customer Usage database'!D28*F11</f>
        <v>33354.44673753061</v>
      </c>
      <c r="H11" s="18">
        <f>'Customer Usage database'!D76*F11</f>
        <v>69.95615344770052</v>
      </c>
      <c r="I11" s="19">
        <f>F11*$I$4+($I$5*MIN(200,G11/F11)+$I$6*MAX(0,G11/F11-200))/100*F11</f>
        <v>4933.421437809315</v>
      </c>
      <c r="J11" s="12">
        <f>'Customer Usage database'!E12</f>
        <v>18</v>
      </c>
      <c r="K11" s="18">
        <f>'Customer Usage database'!E28*J11</f>
        <v>369331.4394059488</v>
      </c>
      <c r="L11" s="18">
        <f>'Customer Usage database'!E76*J11</f>
        <v>1049.8170021050405</v>
      </c>
      <c r="M11" s="19">
        <f aca="true" t="shared" si="0" ref="M11:M22">J11*$M$4+(MIN(K11/J11,200*L11/J11)*$M$5+MAX(0,K11/J11-200*L11/J11)*$M$6)/100*J11+L11*$M$7</f>
        <v>47188.91880139915</v>
      </c>
      <c r="N11" s="12">
        <f>'Customer Usage database'!F12</f>
        <v>1</v>
      </c>
      <c r="O11" s="18">
        <f>'Customer Usage database'!F28*N11</f>
        <v>1694616.7703630836</v>
      </c>
      <c r="P11" s="18">
        <f>'Customer Usage database'!F76*N11</f>
        <v>3461.2685960367126</v>
      </c>
      <c r="Q11" s="19">
        <f>N11*$Q$4+(MIN(O11/N11,200*P11/N11)*$Q$5+MAX(0,O11/N11-200*P11/N11)*$Q$6)/100*N11+P11*$Q$7</f>
        <v>182251.4099065619</v>
      </c>
      <c r="R11" s="12">
        <f>'Customer Usage database'!G12</f>
        <v>9</v>
      </c>
      <c r="S11" s="18">
        <f>'Customer Usage database'!G28*R11</f>
        <v>90614.81204202496</v>
      </c>
      <c r="T11" s="18">
        <f>'Customer Usage database'!G76*R11</f>
        <v>326.19830664535516</v>
      </c>
      <c r="U11" s="19">
        <f>R11*$U$4+(MIN(S11/R11,200*T11/R11)*$U$5+MAX(0,S11/R11-200*T11/R11)*$U$6)/100*R11+T11*$U$7</f>
        <v>11054.638431012896</v>
      </c>
      <c r="V11" s="12">
        <f>'Customer Usage database'!H12</f>
        <v>1</v>
      </c>
      <c r="W11" s="18">
        <f>'Customer Usage database'!H28*V11</f>
        <v>215331.39590230703</v>
      </c>
      <c r="X11" s="18">
        <f>'Customer Usage database'!H76*V11</f>
        <v>641.1628510942518</v>
      </c>
      <c r="Y11" s="19">
        <f>V11*$Y$4+(MIN(W11/V11,200*X11/V11)*$Y$5+MAX(0,W11/V11-200*X11/V11)*$Y$6)/100*V11+X11*$Y$7</f>
        <v>23607.323178815295</v>
      </c>
      <c r="Z11" s="12">
        <f>'Customer Usage database'!I12</f>
        <v>1</v>
      </c>
      <c r="AA11" s="18">
        <f>'Customer Usage database'!I28*Z11</f>
        <v>4450554.3692896925</v>
      </c>
      <c r="AB11" s="18">
        <f>'Customer Usage database'!I76*Z11</f>
        <v>10151.17294946053</v>
      </c>
      <c r="AC11" s="19">
        <f>Z11*$AC$4+(MIN(AA11/Z11,200*AB11/Z11)*$AC$5+MAX(0,AA11/Z11-200*AB11/Z11)*$AC$6)/100*Z11+AB11*$AC$7</f>
        <v>460895.56246865354</v>
      </c>
      <c r="AD11" s="12">
        <f>'Customer Usage database'!J12</f>
        <v>0</v>
      </c>
      <c r="AE11" s="18">
        <f>'Customer Usage database'!J28*AD11</f>
        <v>0</v>
      </c>
      <c r="AF11" s="18">
        <f>'Customer Usage database'!J76*AD11</f>
        <v>0</v>
      </c>
      <c r="AG11" s="19">
        <f>IF(AD11=0,0,AD11*$AG$4+(MIN(AE11/AD11,200*AF11/AD11)*$AG$5+MAX(0,AE11/AD11-200*AF11/AD11)*$AG$6)/100*AD11+AF11*$AG$7)</f>
        <v>0</v>
      </c>
      <c r="AH11" s="12">
        <f>'Customer Usage database'!K12</f>
        <v>17</v>
      </c>
      <c r="AI11" s="18">
        <f>'Customer Usage database'!K28*AH11</f>
        <v>18143.476010309096</v>
      </c>
      <c r="AJ11" s="18">
        <f>'Customer Usage database'!K76*AH11</f>
        <v>39.13346277436293</v>
      </c>
      <c r="AK11" s="18">
        <f>$AK$23</f>
        <v>527.6283392735064</v>
      </c>
      <c r="AL11" s="43">
        <f>AK11*$AL$4</f>
        <v>12430.92367328381</v>
      </c>
      <c r="AM11" s="12">
        <f aca="true" t="shared" si="1" ref="AM11:AM22">B11+F11+J11+N11+R11+V11+Z11+AD11+AH11</f>
        <v>429</v>
      </c>
      <c r="AN11" s="18">
        <f aca="true" t="shared" si="2" ref="AN11:AN22">C11+G11+K11+O11+S11+W11+AA11+AE11+AI11</f>
        <v>7264677.482732512</v>
      </c>
      <c r="AO11" s="18">
        <f aca="true" t="shared" si="3" ref="AO11:AO22">D11+H11+L11+P11+T11+X11+AB11+AF11+AK11</f>
        <v>17005.35487330075</v>
      </c>
      <c r="AP11" s="43">
        <f aca="true" t="shared" si="4" ref="AP11:AP22">E11+I11+M11+Q11+U11+Y11+AC11+AG11+AL11</f>
        <v>802131.590355146</v>
      </c>
      <c r="AQ11" s="23">
        <f>AP11/AN11*100</f>
        <v>11.041530642781334</v>
      </c>
    </row>
    <row r="12" spans="1:43" ht="15">
      <c r="A12" t="s">
        <v>5</v>
      </c>
      <c r="B12" s="12">
        <f>'Customer Usage database'!C13</f>
        <v>570</v>
      </c>
      <c r="C12" s="18">
        <f>'Customer Usage database'!C29*B12</f>
        <v>553282.6663604551</v>
      </c>
      <c r="D12" s="18">
        <f>'Customer Usage database'!C77*B12</f>
        <v>1292.8657024007227</v>
      </c>
      <c r="E12" s="19">
        <f aca="true" t="shared" si="5" ref="E12:E22">B12*$E$4+($E$5*MIN(200,C12/B12)+$E$6*MAX(0,C12/B12-200))/100*B12</f>
        <v>85021.41278302847</v>
      </c>
      <c r="F12" s="12">
        <f>'Customer Usage database'!D13</f>
        <v>48</v>
      </c>
      <c r="G12" s="18">
        <f>'Customer Usage database'!D29*F12</f>
        <v>47430.80982333463</v>
      </c>
      <c r="H12" s="18">
        <f>'Customer Usage database'!D77*F12</f>
        <v>114.91296232604533</v>
      </c>
      <c r="I12" s="19">
        <f aca="true" t="shared" si="6" ref="I12:I22">F12*$I$4+($I$5*MIN(200,G12/F12)+$I$6*MAX(0,G12/F12-200))/100*F12</f>
        <v>7079.2069283423725</v>
      </c>
      <c r="J12" s="12">
        <f>'Customer Usage database'!E13</f>
        <v>23</v>
      </c>
      <c r="K12" s="18">
        <f>'Customer Usage database'!E29*J12</f>
        <v>444767.0703887164</v>
      </c>
      <c r="L12" s="18">
        <f>'Customer Usage database'!E77*J12</f>
        <v>1312.531370247381</v>
      </c>
      <c r="M12" s="19">
        <f t="shared" si="0"/>
        <v>57650.803530690406</v>
      </c>
      <c r="N12" s="12">
        <f>'Customer Usage database'!F13</f>
        <v>1</v>
      </c>
      <c r="O12" s="18">
        <f>'Customer Usage database'!F29*N12</f>
        <v>1594582.9463509652</v>
      </c>
      <c r="P12" s="18">
        <f>'Customer Usage database'!F77*N12</f>
        <v>3533.8308266417166</v>
      </c>
      <c r="Q12" s="19">
        <f aca="true" t="shared" si="7" ref="Q12:Q22">N12*$Q$4+(MIN(O12/N12,200*P12/N12)*$Q$5+MAX(0,O12/N12-200*P12/N12)*$Q$6)/100*N12+P12*$Q$7</f>
        <v>175188.0371440527</v>
      </c>
      <c r="R12" s="12">
        <f>'Customer Usage database'!G13</f>
        <v>10</v>
      </c>
      <c r="S12" s="18">
        <f>'Customer Usage database'!G29*R12</f>
        <v>96523.89644586919</v>
      </c>
      <c r="T12" s="18">
        <f>'Customer Usage database'!G77*R12</f>
        <v>351.7716904152251</v>
      </c>
      <c r="U12" s="19">
        <f aca="true" t="shared" si="8" ref="U12:U22">R12*$U$4+(MIN(S12/R12,200*T12/R12)*$U$5+MAX(0,S12/R12-200*T12/R12)*$U$6)/100*R12+T12*$U$7</f>
        <v>11829.20739546515</v>
      </c>
      <c r="V12" s="12">
        <f>'Customer Usage database'!H13</f>
        <v>1</v>
      </c>
      <c r="W12" s="18">
        <f>'Customer Usage database'!H29*V12</f>
        <v>194294.75124773334</v>
      </c>
      <c r="X12" s="18">
        <f>'Customer Usage database'!H77*V12</f>
        <v>586.4092583925229</v>
      </c>
      <c r="Y12" s="19">
        <f aca="true" t="shared" si="9" ref="Y12:Y22">V12*$Y$4+(MIN(W12/V12,200*X12/V12)*$Y$5+MAX(0,W12/V12-200*X12/V12)*$Y$6)/100*V12+X12*$Y$7</f>
        <v>21399.5850770133</v>
      </c>
      <c r="Z12" s="12">
        <f>'Customer Usage database'!I13</f>
        <v>1</v>
      </c>
      <c r="AA12" s="18">
        <f>'Customer Usage database'!I29*Z12</f>
        <v>4074387.6311654053</v>
      </c>
      <c r="AB12" s="18">
        <f>'Customer Usage database'!I77*Z12</f>
        <v>10354.368613006467</v>
      </c>
      <c r="AC12" s="19">
        <f aca="true" t="shared" si="10" ref="AC12:AC22">Z12*$AC$4+(MIN(AA12/Z12,200*AB12/Z12)*$AC$5+MAX(0,AA12/Z12-200*AB12/Z12)*$AC$6)/100*Z12+AB12*$AC$7</f>
        <v>434668.9890078164</v>
      </c>
      <c r="AD12" s="12">
        <f>'Customer Usage database'!J13</f>
        <v>0</v>
      </c>
      <c r="AE12" s="18">
        <f>'Customer Usage database'!J29*AD12</f>
        <v>0</v>
      </c>
      <c r="AF12" s="18">
        <f>'Customer Usage database'!J77*AD12</f>
        <v>0</v>
      </c>
      <c r="AG12" s="19">
        <f aca="true" t="shared" si="11" ref="AG12:AG22">IF(AD12=0,0,AD12*$AG$4+(MIN(AE12/AD12,200*AF12/AD12)*$AG$5+MAX(0,AE12/AD12-200*AF12/AD12)*$AG$6)/100*AD12+AF12*$AG$7)</f>
        <v>0</v>
      </c>
      <c r="AH12" s="12">
        <f>'Customer Usage database'!K13</f>
        <v>24</v>
      </c>
      <c r="AI12" s="18">
        <f>'Customer Usage database'!K29*AH12</f>
        <v>21707.70297262884</v>
      </c>
      <c r="AJ12" s="18">
        <f>'Customer Usage database'!K77*AH12</f>
        <v>55.2203776690194</v>
      </c>
      <c r="AK12" s="18">
        <f aca="true" t="shared" si="12" ref="AK12:AK22">$AK$23</f>
        <v>527.6283392735064</v>
      </c>
      <c r="AL12" s="43">
        <f aca="true" t="shared" si="13" ref="AL12:AL22">AK12*$AL$4</f>
        <v>12430.92367328381</v>
      </c>
      <c r="AM12" s="12">
        <f t="shared" si="1"/>
        <v>678</v>
      </c>
      <c r="AN12" s="18">
        <f t="shared" si="2"/>
        <v>7026977.474755107</v>
      </c>
      <c r="AO12" s="18">
        <f t="shared" si="3"/>
        <v>18074.318762703588</v>
      </c>
      <c r="AP12" s="43">
        <f t="shared" si="4"/>
        <v>805268.1655396926</v>
      </c>
      <c r="AQ12" s="23">
        <f aca="true" t="shared" si="14" ref="AQ12:AQ23">AP12/AN12*100</f>
        <v>11.459666242458768</v>
      </c>
    </row>
    <row r="13" spans="1:43" ht="15">
      <c r="A13" t="s">
        <v>6</v>
      </c>
      <c r="B13" s="12">
        <f>'Customer Usage database'!C14</f>
        <v>810</v>
      </c>
      <c r="C13" s="18">
        <f>'Customer Usage database'!C30*B13</f>
        <v>787190.3369082442</v>
      </c>
      <c r="D13" s="18">
        <f>'Customer Usage database'!C78*B13</f>
        <v>1572.68823634582</v>
      </c>
      <c r="E13" s="19">
        <f t="shared" si="5"/>
        <v>120954.79491279389</v>
      </c>
      <c r="F13" s="12">
        <f>'Customer Usage database'!D14</f>
        <v>80</v>
      </c>
      <c r="G13" s="18">
        <f>'Customer Usage database'!D30*F13</f>
        <v>75707.55847933832</v>
      </c>
      <c r="H13" s="18">
        <f>'Customer Usage database'!D78*F13</f>
        <v>167.57910949923456</v>
      </c>
      <c r="I13" s="19">
        <f t="shared" si="6"/>
        <v>11354.689614886542</v>
      </c>
      <c r="J13" s="12">
        <f>'Customer Usage database'!E14</f>
        <v>36</v>
      </c>
      <c r="K13" s="18">
        <f>'Customer Usage database'!E30*J13</f>
        <v>717597.7444509087</v>
      </c>
      <c r="L13" s="18">
        <f>'Customer Usage database'!E78*J13</f>
        <v>1841.0498649230792</v>
      </c>
      <c r="M13" s="19">
        <f t="shared" si="0"/>
        <v>88297.43060377566</v>
      </c>
      <c r="N13" s="12">
        <f>'Customer Usage database'!F14</f>
        <v>1</v>
      </c>
      <c r="O13" s="18">
        <f>'Customer Usage database'!F30*N13</f>
        <v>1662281.5163261387</v>
      </c>
      <c r="P13" s="18">
        <f>'Customer Usage database'!F78*N13</f>
        <v>3500.133138796836</v>
      </c>
      <c r="Q13" s="19">
        <f t="shared" si="7"/>
        <v>180173.85968306946</v>
      </c>
      <c r="R13" s="12">
        <f>'Customer Usage database'!G14</f>
        <v>10</v>
      </c>
      <c r="S13" s="18">
        <f>'Customer Usage database'!G30*R13</f>
        <v>96810.54379038594</v>
      </c>
      <c r="T13" s="18">
        <f>'Customer Usage database'!G78*R13</f>
        <v>311.2707428435057</v>
      </c>
      <c r="U13" s="19">
        <f t="shared" si="8"/>
        <v>11345.847480611998</v>
      </c>
      <c r="V13" s="12">
        <f>'Customer Usage database'!H14</f>
        <v>2</v>
      </c>
      <c r="W13" s="18">
        <f>'Customer Usage database'!H30*V13</f>
        <v>414691.47910392925</v>
      </c>
      <c r="X13" s="18">
        <f>'Customer Usage database'!H78*V13</f>
        <v>1098.4409549746451</v>
      </c>
      <c r="Y13" s="19">
        <f t="shared" si="9"/>
        <v>43759.42038005356</v>
      </c>
      <c r="Z13" s="12">
        <f>'Customer Usage database'!I14</f>
        <v>1</v>
      </c>
      <c r="AA13" s="18">
        <f>'Customer Usage database'!I30*Z13</f>
        <v>4282104.908195619</v>
      </c>
      <c r="AB13" s="18">
        <f>'Customer Usage database'!I78*Z13</f>
        <v>9527.89554934086</v>
      </c>
      <c r="AC13" s="19">
        <f t="shared" si="10"/>
        <v>440583.50111884973</v>
      </c>
      <c r="AD13" s="12">
        <f>'Customer Usage database'!J14</f>
        <v>0</v>
      </c>
      <c r="AE13" s="18">
        <f>'Customer Usage database'!J30*AD13</f>
        <v>0</v>
      </c>
      <c r="AF13" s="18">
        <f>'Customer Usage database'!J78*AD13</f>
        <v>0</v>
      </c>
      <c r="AG13" s="19">
        <f t="shared" si="11"/>
        <v>0</v>
      </c>
      <c r="AH13" s="12">
        <f>'Customer Usage database'!K14</f>
        <v>29</v>
      </c>
      <c r="AI13" s="18">
        <f>'Customer Usage database'!K30*AH13</f>
        <v>25945.60216684888</v>
      </c>
      <c r="AJ13" s="18">
        <f>'Customer Usage database'!K78*AH13</f>
        <v>66.76200181983201</v>
      </c>
      <c r="AK13" s="18">
        <f t="shared" si="12"/>
        <v>527.6283392735064</v>
      </c>
      <c r="AL13" s="43">
        <f t="shared" si="13"/>
        <v>12430.92367328381</v>
      </c>
      <c r="AM13" s="12">
        <f t="shared" si="1"/>
        <v>969</v>
      </c>
      <c r="AN13" s="18">
        <f t="shared" si="2"/>
        <v>8062329.689421413</v>
      </c>
      <c r="AO13" s="18">
        <f t="shared" si="3"/>
        <v>18546.685935997484</v>
      </c>
      <c r="AP13" s="43">
        <f t="shared" si="4"/>
        <v>908900.4674673246</v>
      </c>
      <c r="AQ13" s="23">
        <f t="shared" si="14"/>
        <v>11.273422230052107</v>
      </c>
    </row>
    <row r="14" spans="1:43" ht="15">
      <c r="A14" t="s">
        <v>7</v>
      </c>
      <c r="B14" s="12">
        <f>'Customer Usage database'!C15</f>
        <v>1002</v>
      </c>
      <c r="C14" s="18">
        <f>'Customer Usage database'!C31*B14</f>
        <v>778591.8684168799</v>
      </c>
      <c r="D14" s="18">
        <f>'Customer Usage database'!C79*B14</f>
        <v>1726.7097751741296</v>
      </c>
      <c r="E14" s="19">
        <f t="shared" si="5"/>
        <v>121808.78716808955</v>
      </c>
      <c r="F14" s="12">
        <f>'Customer Usage database'!D15</f>
        <v>92</v>
      </c>
      <c r="G14" s="18">
        <f>'Customer Usage database'!D31*F14</f>
        <v>73840.64276354613</v>
      </c>
      <c r="H14" s="18">
        <f>'Customer Usage database'!D79*F14</f>
        <v>169.45941579960518</v>
      </c>
      <c r="I14" s="19">
        <f t="shared" si="6"/>
        <v>11302.136546143654</v>
      </c>
      <c r="J14" s="12">
        <f>'Customer Usage database'!E15</f>
        <v>49</v>
      </c>
      <c r="K14" s="18">
        <f>'Customer Usage database'!E31*J14</f>
        <v>847948.0768993164</v>
      </c>
      <c r="L14" s="18">
        <f>'Customer Usage database'!E79*J14</f>
        <v>2246.398181811239</v>
      </c>
      <c r="M14" s="19">
        <f t="shared" si="0"/>
        <v>105546.12400813749</v>
      </c>
      <c r="N14" s="12">
        <f>'Customer Usage database'!F15</f>
        <v>1</v>
      </c>
      <c r="O14" s="18">
        <f>'Customer Usage database'!F31*N14</f>
        <v>1525841.5368086929</v>
      </c>
      <c r="P14" s="18">
        <f>'Customer Usage database'!F79*N14</f>
        <v>3322.0991262750867</v>
      </c>
      <c r="Q14" s="19">
        <f t="shared" si="7"/>
        <v>166843.22983051097</v>
      </c>
      <c r="R14" s="12">
        <f>'Customer Usage database'!G15</f>
        <v>11</v>
      </c>
      <c r="S14" s="18">
        <f>'Customer Usage database'!G31*R14</f>
        <v>101597.51650013571</v>
      </c>
      <c r="T14" s="18">
        <f>'Customer Usage database'!G79*R14</f>
        <v>352.8261067102607</v>
      </c>
      <c r="U14" s="19">
        <f t="shared" si="8"/>
        <v>12233.390408409512</v>
      </c>
      <c r="V14" s="12">
        <f>'Customer Usage database'!H15</f>
        <v>2</v>
      </c>
      <c r="W14" s="18">
        <f>'Customer Usage database'!H31*V14</f>
        <v>413254.50602385565</v>
      </c>
      <c r="X14" s="18">
        <f>'Customer Usage database'!H79*V14</f>
        <v>1150.0510634976308</v>
      </c>
      <c r="Y14" s="19">
        <f t="shared" si="9"/>
        <v>44300.54712597127</v>
      </c>
      <c r="Z14" s="12">
        <f>'Customer Usage database'!I15</f>
        <v>1</v>
      </c>
      <c r="AA14" s="18">
        <f>'Customer Usage database'!I31*Z14</f>
        <v>4284239.4835496135</v>
      </c>
      <c r="AB14" s="18">
        <f>'Customer Usage database'!I79*Z14</f>
        <v>10167.559866675496</v>
      </c>
      <c r="AC14" s="19">
        <f t="shared" si="10"/>
        <v>448418.9292472531</v>
      </c>
      <c r="AD14" s="12">
        <f>'Customer Usage database'!J15</f>
        <v>0</v>
      </c>
      <c r="AE14" s="18">
        <f>'Customer Usage database'!J31*AD14</f>
        <v>0</v>
      </c>
      <c r="AF14" s="18">
        <f>'Customer Usage database'!J79*AD14</f>
        <v>0</v>
      </c>
      <c r="AG14" s="19">
        <f t="shared" si="11"/>
        <v>0</v>
      </c>
      <c r="AH14" s="12">
        <f>'Customer Usage database'!K15</f>
        <v>41</v>
      </c>
      <c r="AI14" s="18">
        <f>'Customer Usage database'!K31*AH14</f>
        <v>32893.836640364374</v>
      </c>
      <c r="AJ14" s="18">
        <f>'Customer Usage database'!K79*AH14</f>
        <v>94.38870075634628</v>
      </c>
      <c r="AK14" s="18">
        <f t="shared" si="12"/>
        <v>527.6283392735064</v>
      </c>
      <c r="AL14" s="43">
        <f t="shared" si="13"/>
        <v>12430.92367328381</v>
      </c>
      <c r="AM14" s="12">
        <f t="shared" si="1"/>
        <v>1199</v>
      </c>
      <c r="AN14" s="18">
        <f t="shared" si="2"/>
        <v>8058207.467602405</v>
      </c>
      <c r="AO14" s="18">
        <f t="shared" si="3"/>
        <v>19662.731875216952</v>
      </c>
      <c r="AP14" s="43">
        <f t="shared" si="4"/>
        <v>922884.0680077993</v>
      </c>
      <c r="AQ14" s="23">
        <f t="shared" si="14"/>
        <v>11.45272160983948</v>
      </c>
    </row>
    <row r="15" spans="1:43" ht="15">
      <c r="A15" t="s">
        <v>8</v>
      </c>
      <c r="B15" s="12">
        <f>'Customer Usage database'!C16</f>
        <v>1191</v>
      </c>
      <c r="C15" s="18">
        <f>'Customer Usage database'!C32*B15</f>
        <v>830809.8103142233</v>
      </c>
      <c r="D15" s="18">
        <f>'Customer Usage database'!C80*B15</f>
        <v>1754.4464033058453</v>
      </c>
      <c r="E15" s="19">
        <f t="shared" si="5"/>
        <v>131297.23606787995</v>
      </c>
      <c r="F15" s="12">
        <f>'Customer Usage database'!D16</f>
        <v>99</v>
      </c>
      <c r="G15" s="18">
        <f>'Customer Usage database'!D32*F15</f>
        <v>72810.14201862468</v>
      </c>
      <c r="H15" s="18">
        <f>'Customer Usage database'!D80*F15</f>
        <v>163.09991918030613</v>
      </c>
      <c r="I15" s="19">
        <f t="shared" si="6"/>
        <v>11279.252657232984</v>
      </c>
      <c r="J15" s="12">
        <f>'Customer Usage database'!E16</f>
        <v>57</v>
      </c>
      <c r="K15" s="18">
        <f>'Customer Usage database'!E32*J15</f>
        <v>936314.5771760651</v>
      </c>
      <c r="L15" s="18">
        <f>'Customer Usage database'!E80*J15</f>
        <v>2460.081634750227</v>
      </c>
      <c r="M15" s="19">
        <f t="shared" si="0"/>
        <v>116197.07510495532</v>
      </c>
      <c r="N15" s="12">
        <f>'Customer Usage database'!F16</f>
        <v>1</v>
      </c>
      <c r="O15" s="18">
        <f>'Customer Usage database'!F32*N15</f>
        <v>1597393.9420136907</v>
      </c>
      <c r="P15" s="18">
        <f>'Customer Usage database'!F80*N15</f>
        <v>3561.51993157832</v>
      </c>
      <c r="Q15" s="19">
        <f t="shared" si="7"/>
        <v>175783.2430911919</v>
      </c>
      <c r="R15" s="12">
        <f>'Customer Usage database'!G16</f>
        <v>13</v>
      </c>
      <c r="S15" s="18">
        <f>'Customer Usage database'!G32*R15</f>
        <v>121016.30670982107</v>
      </c>
      <c r="T15" s="18">
        <f>'Customer Usage database'!G80*R15</f>
        <v>439.73905882343706</v>
      </c>
      <c r="U15" s="19">
        <f t="shared" si="8"/>
        <v>14814.670212242405</v>
      </c>
      <c r="V15" s="12">
        <f>'Customer Usage database'!H16</f>
        <v>2</v>
      </c>
      <c r="W15" s="18">
        <f>'Customer Usage database'!H32*V15</f>
        <v>408340.9696577505</v>
      </c>
      <c r="X15" s="18">
        <f>'Customer Usage database'!H80*V15</f>
        <v>1172.441680910416</v>
      </c>
      <c r="Y15" s="19">
        <f t="shared" si="9"/>
        <v>44224.66306597882</v>
      </c>
      <c r="Z15" s="12">
        <f>'Customer Usage database'!I16</f>
        <v>1</v>
      </c>
      <c r="AA15" s="18">
        <f>'Customer Usage database'!I32*Z15</f>
        <v>4595659.856178817</v>
      </c>
      <c r="AB15" s="18">
        <f>'Customer Usage database'!I80*Z15</f>
        <v>9457.410012403183</v>
      </c>
      <c r="AC15" s="19">
        <f t="shared" si="10"/>
        <v>463630.914139602</v>
      </c>
      <c r="AD15" s="12">
        <f>'Customer Usage database'!J16</f>
        <v>0</v>
      </c>
      <c r="AE15" s="18">
        <f>'Customer Usage database'!J32*AD15</f>
        <v>0</v>
      </c>
      <c r="AF15" s="18">
        <f>'Customer Usage database'!J80*AD15</f>
        <v>0</v>
      </c>
      <c r="AG15" s="19">
        <f t="shared" si="11"/>
        <v>0</v>
      </c>
      <c r="AH15" s="12">
        <f>'Customer Usage database'!K16</f>
        <v>47</v>
      </c>
      <c r="AI15" s="18">
        <f>'Customer Usage database'!K32*AH15</f>
        <v>34382.9733248851</v>
      </c>
      <c r="AJ15" s="18">
        <f>'Customer Usage database'!K80*AH15</f>
        <v>108.19849296328299</v>
      </c>
      <c r="AK15" s="18">
        <f t="shared" si="12"/>
        <v>527.6283392735064</v>
      </c>
      <c r="AL15" s="43">
        <f t="shared" si="13"/>
        <v>12430.92367328381</v>
      </c>
      <c r="AM15" s="12">
        <f t="shared" si="1"/>
        <v>1411</v>
      </c>
      <c r="AN15" s="18">
        <f t="shared" si="2"/>
        <v>8596728.577393878</v>
      </c>
      <c r="AO15" s="18">
        <f t="shared" si="3"/>
        <v>19536.36698022524</v>
      </c>
      <c r="AP15" s="43">
        <f t="shared" si="4"/>
        <v>969657.9780123672</v>
      </c>
      <c r="AQ15" s="23">
        <f t="shared" si="14"/>
        <v>11.27938342222643</v>
      </c>
    </row>
    <row r="16" spans="1:43" ht="15">
      <c r="A16" t="s">
        <v>264</v>
      </c>
      <c r="B16" s="12">
        <f>'Customer Usage database'!C17</f>
        <v>1380</v>
      </c>
      <c r="C16" s="18">
        <f>'Customer Usage database'!C33*B16</f>
        <v>788235.180691279</v>
      </c>
      <c r="D16" s="18">
        <f>'Customer Usage database'!C81*B16</f>
        <v>2010.0689501221016</v>
      </c>
      <c r="E16" s="19">
        <f t="shared" si="5"/>
        <v>127276.79560031416</v>
      </c>
      <c r="F16" s="12">
        <f>'Customer Usage database'!D17</f>
        <v>113</v>
      </c>
      <c r="G16" s="18">
        <f>'Customer Usage database'!D33*F16</f>
        <v>79140.64854467854</v>
      </c>
      <c r="H16" s="18">
        <f>'Customer Usage database'!D81*F16</f>
        <v>188.55765153289087</v>
      </c>
      <c r="I16" s="19">
        <f t="shared" si="6"/>
        <v>12347.709313762418</v>
      </c>
      <c r="J16" s="12">
        <f>'Customer Usage database'!E17</f>
        <v>60</v>
      </c>
      <c r="K16" s="18">
        <f>'Customer Usage database'!E33*J16</f>
        <v>998132.829593567</v>
      </c>
      <c r="L16" s="18">
        <f>'Customer Usage database'!E81*J16</f>
        <v>2782.0271449744414</v>
      </c>
      <c r="M16" s="19">
        <f t="shared" si="0"/>
        <v>126589.42501601303</v>
      </c>
      <c r="N16" s="12">
        <f>'Customer Usage database'!F17</f>
        <v>1</v>
      </c>
      <c r="O16" s="18">
        <f>'Customer Usage database'!F33*N16</f>
        <v>1587303.3935721014</v>
      </c>
      <c r="P16" s="18">
        <f>'Customer Usage database'!F81*N16</f>
        <v>3657.014703353241</v>
      </c>
      <c r="Q16" s="19">
        <f t="shared" si="7"/>
        <v>176247.45068615302</v>
      </c>
      <c r="R16" s="12">
        <f>'Customer Usage database'!G17</f>
        <v>13</v>
      </c>
      <c r="S16" s="18">
        <f>'Customer Usage database'!G33*R16</f>
        <v>126333.06405305168</v>
      </c>
      <c r="T16" s="18">
        <f>'Customer Usage database'!G81*R16</f>
        <v>475.2439603733236</v>
      </c>
      <c r="U16" s="19">
        <f t="shared" si="8"/>
        <v>15667.533872027772</v>
      </c>
      <c r="V16" s="12">
        <f>'Customer Usage database'!H17</f>
        <v>2</v>
      </c>
      <c r="W16" s="18">
        <f>'Customer Usage database'!H33*V16</f>
        <v>427488.58701600635</v>
      </c>
      <c r="X16" s="18">
        <f>'Customer Usage database'!H81*V16</f>
        <v>1217.9503610118893</v>
      </c>
      <c r="Y16" s="19">
        <f t="shared" si="9"/>
        <v>46180.046048838645</v>
      </c>
      <c r="Z16" s="12">
        <f>'Customer Usage database'!I17</f>
        <v>1</v>
      </c>
      <c r="AA16" s="18">
        <f>'Customer Usage database'!I33*Z16</f>
        <v>4427328.744365387</v>
      </c>
      <c r="AB16" s="18">
        <f>'Customer Usage database'!I81*Z16</f>
        <v>10396.025628736224</v>
      </c>
      <c r="AC16" s="19">
        <f t="shared" si="10"/>
        <v>462062.77773733344</v>
      </c>
      <c r="AD16" s="12">
        <f>'Customer Usage database'!J17</f>
        <v>0</v>
      </c>
      <c r="AE16" s="18">
        <f>'Customer Usage database'!J33*AD16</f>
        <v>0</v>
      </c>
      <c r="AF16" s="18">
        <f>'Customer Usage database'!J81*AD16</f>
        <v>0</v>
      </c>
      <c r="AG16" s="19">
        <f t="shared" si="11"/>
        <v>0</v>
      </c>
      <c r="AH16" s="12">
        <f>'Customer Usage database'!K17</f>
        <v>59</v>
      </c>
      <c r="AI16" s="18">
        <f>'Customer Usage database'!K33*AH16</f>
        <v>38426.16277163157</v>
      </c>
      <c r="AJ16" s="18">
        <f>'Customer Usage database'!K81*AH16</f>
        <v>135.82464071508724</v>
      </c>
      <c r="AK16" s="18">
        <f t="shared" si="12"/>
        <v>527.6283392735064</v>
      </c>
      <c r="AL16" s="43">
        <f t="shared" si="13"/>
        <v>12430.92367328381</v>
      </c>
      <c r="AM16" s="12">
        <f t="shared" si="1"/>
        <v>1629</v>
      </c>
      <c r="AN16" s="18">
        <f t="shared" si="2"/>
        <v>8472388.610607702</v>
      </c>
      <c r="AO16" s="18">
        <f t="shared" si="3"/>
        <v>21254.51673937762</v>
      </c>
      <c r="AP16" s="43">
        <f t="shared" si="4"/>
        <v>978802.6619477263</v>
      </c>
      <c r="AQ16" s="23">
        <f t="shared" si="14"/>
        <v>11.552853710253965</v>
      </c>
    </row>
    <row r="17" spans="1:43" ht="15">
      <c r="A17" t="s">
        <v>265</v>
      </c>
      <c r="B17" s="12">
        <f>'Customer Usage database'!C18</f>
        <v>1650</v>
      </c>
      <c r="C17" s="18">
        <f>'Customer Usage database'!C34*B17</f>
        <v>947299.0643179353</v>
      </c>
      <c r="D17" s="18">
        <f>'Customer Usage database'!C82*B17</f>
        <v>2095.754598259526</v>
      </c>
      <c r="E17" s="19">
        <f t="shared" si="5"/>
        <v>152869.08965594895</v>
      </c>
      <c r="F17" s="12">
        <f>'Customer Usage database'!D18</f>
        <v>119</v>
      </c>
      <c r="G17" s="18">
        <f>'Customer Usage database'!D34*F17</f>
        <v>85890.7522296117</v>
      </c>
      <c r="H17" s="18">
        <f>'Customer Usage database'!D82*F17</f>
        <v>191.49184127820524</v>
      </c>
      <c r="I17" s="19">
        <f t="shared" si="6"/>
        <v>13341.65608104784</v>
      </c>
      <c r="J17" s="12">
        <f>'Customer Usage database'!E18</f>
        <v>69</v>
      </c>
      <c r="K17" s="18">
        <f>'Customer Usage database'!E34*J17</f>
        <v>1237511.2836163528</v>
      </c>
      <c r="L17" s="18">
        <f>'Customer Usage database'!E82*J17</f>
        <v>3290.912681256056</v>
      </c>
      <c r="M17" s="19">
        <f t="shared" si="0"/>
        <v>154248.78545676265</v>
      </c>
      <c r="N17" s="12">
        <f>'Customer Usage database'!F18</f>
        <v>1</v>
      </c>
      <c r="O17" s="18">
        <f>'Customer Usage database'!F34*N17</f>
        <v>1841757.8001497153</v>
      </c>
      <c r="P17" s="18">
        <f>'Customer Usage database'!F82*N17</f>
        <v>3906.5694126251633</v>
      </c>
      <c r="Q17" s="19">
        <f t="shared" si="7"/>
        <v>200007.90258550344</v>
      </c>
      <c r="R17" s="12">
        <f>'Customer Usage database'!G18</f>
        <v>17</v>
      </c>
      <c r="S17" s="18">
        <f>'Customer Usage database'!G34*R17</f>
        <v>167933.643903586</v>
      </c>
      <c r="T17" s="18">
        <f>'Customer Usage database'!G82*R17</f>
        <v>630.6263803638884</v>
      </c>
      <c r="U17" s="19">
        <f t="shared" si="8"/>
        <v>20812.8631625907</v>
      </c>
      <c r="V17" s="12">
        <f>'Customer Usage database'!H18</f>
        <v>2</v>
      </c>
      <c r="W17" s="18">
        <f>'Customer Usage database'!H34*V17</f>
        <v>427095.76191835065</v>
      </c>
      <c r="X17" s="18">
        <f>'Customer Usage database'!H82*V17</f>
        <v>1245.1091558487965</v>
      </c>
      <c r="Y17" s="19">
        <f t="shared" si="9"/>
        <v>46491.11367777358</v>
      </c>
      <c r="Z17" s="12">
        <f>'Customer Usage database'!I18</f>
        <v>1</v>
      </c>
      <c r="AA17" s="18">
        <f>'Customer Usage database'!I34*Z17</f>
        <v>4822681.866472571</v>
      </c>
      <c r="AB17" s="18">
        <f>'Customer Usage database'!I82*Z17</f>
        <v>10598.158600381863</v>
      </c>
      <c r="AC17" s="19">
        <f t="shared" si="10"/>
        <v>494613.2706367903</v>
      </c>
      <c r="AD17" s="12">
        <f>'Customer Usage database'!J18</f>
        <v>0</v>
      </c>
      <c r="AE17" s="18">
        <f>'Customer Usage database'!J34*AD17</f>
        <v>0</v>
      </c>
      <c r="AF17" s="18">
        <f>'Customer Usage database'!J82*AD17</f>
        <v>0</v>
      </c>
      <c r="AG17" s="19">
        <f t="shared" si="11"/>
        <v>0</v>
      </c>
      <c r="AH17" s="12">
        <f>'Customer Usage database'!K18</f>
        <v>67</v>
      </c>
      <c r="AI17" s="18">
        <f>'Customer Usage database'!K34*AH17</f>
        <v>45474.377672319286</v>
      </c>
      <c r="AJ17" s="18">
        <f>'Customer Usage database'!K82*AH17</f>
        <v>154.2307464104808</v>
      </c>
      <c r="AK17" s="18">
        <f t="shared" si="12"/>
        <v>527.6283392735064</v>
      </c>
      <c r="AL17" s="43">
        <f t="shared" si="13"/>
        <v>12430.92367328381</v>
      </c>
      <c r="AM17" s="12">
        <f t="shared" si="1"/>
        <v>1926</v>
      </c>
      <c r="AN17" s="18">
        <f t="shared" si="2"/>
        <v>9575644.55028044</v>
      </c>
      <c r="AO17" s="18">
        <f t="shared" si="3"/>
        <v>22486.251009287007</v>
      </c>
      <c r="AP17" s="43">
        <f t="shared" si="4"/>
        <v>1094815.6049297012</v>
      </c>
      <c r="AQ17" s="23">
        <f t="shared" si="14"/>
        <v>11.433335888576163</v>
      </c>
    </row>
    <row r="18" spans="1:43" ht="15">
      <c r="A18" t="s">
        <v>11</v>
      </c>
      <c r="B18" s="12">
        <f>'Customer Usage database'!C19</f>
        <v>1839</v>
      </c>
      <c r="C18" s="18">
        <f>'Customer Usage database'!C35*B18</f>
        <v>1034024.5985820626</v>
      </c>
      <c r="D18" s="18">
        <f>'Customer Usage database'!C83*B18</f>
        <v>2349.268537196918</v>
      </c>
      <c r="E18" s="19">
        <f t="shared" si="5"/>
        <v>167275.21554392972</v>
      </c>
      <c r="F18" s="12">
        <f>'Customer Usage database'!D19</f>
        <v>132</v>
      </c>
      <c r="G18" s="18">
        <f>'Customer Usage database'!D35*F18</f>
        <v>95910.91215205412</v>
      </c>
      <c r="H18" s="18">
        <f>'Customer Usage database'!D83*F18</f>
        <v>225.76255180686525</v>
      </c>
      <c r="I18" s="19">
        <f t="shared" si="6"/>
        <v>14883.746915549746</v>
      </c>
      <c r="J18" s="12">
        <f>'Customer Usage database'!E19</f>
        <v>72</v>
      </c>
      <c r="K18" s="18">
        <f>'Customer Usage database'!E35*J18</f>
        <v>1254560.7953137045</v>
      </c>
      <c r="L18" s="18">
        <f>'Customer Usage database'!E83*J18</f>
        <v>3633.7914097164607</v>
      </c>
      <c r="M18" s="19">
        <f t="shared" si="0"/>
        <v>161448.43795313785</v>
      </c>
      <c r="N18" s="12">
        <f>'Customer Usage database'!F19</f>
        <v>1</v>
      </c>
      <c r="O18" s="18">
        <f>'Customer Usage database'!F35*N18</f>
        <v>1861861.7233154532</v>
      </c>
      <c r="P18" s="18">
        <f>'Customer Usage database'!F83*N18</f>
        <v>4199.044670871265</v>
      </c>
      <c r="Q18" s="19">
        <f t="shared" si="7"/>
        <v>205525.1288977748</v>
      </c>
      <c r="R18" s="12">
        <f>'Customer Usage database'!G19</f>
        <v>19</v>
      </c>
      <c r="S18" s="18">
        <f>'Customer Usage database'!G35*R18</f>
        <v>187337.7383896528</v>
      </c>
      <c r="T18" s="18">
        <f>'Customer Usage database'!G83*R18</f>
        <v>735.1834146117076</v>
      </c>
      <c r="U18" s="19">
        <f t="shared" si="8"/>
        <v>23613.208512044654</v>
      </c>
      <c r="V18" s="12">
        <f>'Customer Usage database'!H19</f>
        <v>2</v>
      </c>
      <c r="W18" s="18">
        <f>'Customer Usage database'!H35*V18</f>
        <v>427557.24452926003</v>
      </c>
      <c r="X18" s="18">
        <f>'Customer Usage database'!H83*V18</f>
        <v>1220.9742470306833</v>
      </c>
      <c r="Y18" s="19">
        <f t="shared" si="9"/>
        <v>46222.81913849429</v>
      </c>
      <c r="Z18" s="12">
        <f>'Customer Usage database'!I19</f>
        <v>1</v>
      </c>
      <c r="AA18" s="18">
        <f>'Customer Usage database'!I35*Z18</f>
        <v>5172288.114948245</v>
      </c>
      <c r="AB18" s="18">
        <f>'Customer Usage database'!I83*Z18</f>
        <v>10947.275859742333</v>
      </c>
      <c r="AC18" s="19">
        <f t="shared" si="10"/>
        <v>525440.9282966654</v>
      </c>
      <c r="AD18" s="12">
        <f>'Customer Usage database'!J19</f>
        <v>0</v>
      </c>
      <c r="AE18" s="18">
        <f>'Customer Usage database'!J35*AD18</f>
        <v>0</v>
      </c>
      <c r="AF18" s="18">
        <f>'Customer Usage database'!J83*AD18</f>
        <v>0</v>
      </c>
      <c r="AG18" s="19">
        <f t="shared" si="11"/>
        <v>0</v>
      </c>
      <c r="AH18" s="12">
        <f>'Customer Usage database'!K19</f>
        <v>78</v>
      </c>
      <c r="AI18" s="18">
        <f>'Customer Usage database'!K35*AH18</f>
        <v>57493.77907934534</v>
      </c>
      <c r="AJ18" s="18">
        <f>'Customer Usage database'!K83*AH18</f>
        <v>179.56544067210635</v>
      </c>
      <c r="AK18" s="18">
        <f t="shared" si="12"/>
        <v>527.6283392735064</v>
      </c>
      <c r="AL18" s="43">
        <f t="shared" si="13"/>
        <v>12430.92367328381</v>
      </c>
      <c r="AM18" s="12">
        <f t="shared" si="1"/>
        <v>2144</v>
      </c>
      <c r="AN18" s="18">
        <f t="shared" si="2"/>
        <v>10091034.906309778</v>
      </c>
      <c r="AO18" s="18">
        <f t="shared" si="3"/>
        <v>23838.92903024974</v>
      </c>
      <c r="AP18" s="43">
        <f t="shared" si="4"/>
        <v>1156840.4089308803</v>
      </c>
      <c r="AQ18" s="23">
        <f t="shared" si="14"/>
        <v>11.464041296770509</v>
      </c>
    </row>
    <row r="19" spans="1:43" ht="15">
      <c r="A19" t="s">
        <v>12</v>
      </c>
      <c r="B19" s="12">
        <f>'Customer Usage database'!C20</f>
        <v>2103</v>
      </c>
      <c r="C19" s="18">
        <f>'Customer Usage database'!C36*B19</f>
        <v>1184411.603615748</v>
      </c>
      <c r="D19" s="18">
        <f>'Customer Usage database'!C84*B19</f>
        <v>2543.2633731865753</v>
      </c>
      <c r="E19" s="19">
        <f t="shared" si="5"/>
        <v>191565.98763128024</v>
      </c>
      <c r="F19" s="12">
        <f>'Customer Usage database'!D20</f>
        <v>149</v>
      </c>
      <c r="G19" s="18">
        <f>'Customer Usage database'!D36*F19</f>
        <v>98019.49706874388</v>
      </c>
      <c r="H19" s="18">
        <f>'Customer Usage database'!D84*F19</f>
        <v>234.0845692329332</v>
      </c>
      <c r="I19" s="19">
        <f t="shared" si="6"/>
        <v>15440.450820787812</v>
      </c>
      <c r="J19" s="12">
        <f>'Customer Usage database'!E20</f>
        <v>77</v>
      </c>
      <c r="K19" s="18">
        <f>'Customer Usage database'!E36*J19</f>
        <v>1242369.5246237426</v>
      </c>
      <c r="L19" s="18">
        <f>'Customer Usage database'!E84*J19</f>
        <v>4000.9490398157272</v>
      </c>
      <c r="M19" s="19">
        <f t="shared" si="0"/>
        <v>166743.66548147378</v>
      </c>
      <c r="N19" s="12">
        <f>'Customer Usage database'!F20</f>
        <v>1</v>
      </c>
      <c r="O19" s="18">
        <f>'Customer Usage database'!F36*N19</f>
        <v>1737077.7885040068</v>
      </c>
      <c r="P19" s="18">
        <f>'Customer Usage database'!F84*N19</f>
        <v>4269.759881141887</v>
      </c>
      <c r="Q19" s="19">
        <f t="shared" si="7"/>
        <v>196449.92125282518</v>
      </c>
      <c r="R19" s="12">
        <f>'Customer Usage database'!G20</f>
        <v>19</v>
      </c>
      <c r="S19" s="18">
        <f>'Customer Usage database'!G36*R19</f>
        <v>175113.14860482153</v>
      </c>
      <c r="T19" s="18">
        <f>'Customer Usage database'!G84*R19</f>
        <v>702.2085620999037</v>
      </c>
      <c r="U19" s="19">
        <f t="shared" si="8"/>
        <v>22259.53321798039</v>
      </c>
      <c r="V19" s="12">
        <f>'Customer Usage database'!H20</f>
        <v>2</v>
      </c>
      <c r="W19" s="18">
        <f>'Customer Usage database'!H36*V19</f>
        <v>416442.74795709574</v>
      </c>
      <c r="X19" s="18">
        <f>'Customer Usage database'!H84*V19</f>
        <v>1262.2863471865185</v>
      </c>
      <c r="Y19" s="19">
        <f t="shared" si="9"/>
        <v>45934.461005751975</v>
      </c>
      <c r="Z19" s="12">
        <f>'Customer Usage database'!I20</f>
        <v>1</v>
      </c>
      <c r="AA19" s="18">
        <f>'Customer Usage database'!I36*Z19</f>
        <v>4881329.762421957</v>
      </c>
      <c r="AB19" s="18">
        <f>'Customer Usage database'!I84*Z19</f>
        <v>11580.251416295177</v>
      </c>
      <c r="AC19" s="19">
        <f t="shared" si="10"/>
        <v>510862.44363501377</v>
      </c>
      <c r="AD19" s="12">
        <f>'Customer Usage database'!J20</f>
        <v>1</v>
      </c>
      <c r="AE19" s="18">
        <f>'Customer Usage database'!J36*AD19</f>
        <v>5360871.598282292</v>
      </c>
      <c r="AF19" s="18">
        <f>'Customer Usage database'!J84*AD19</f>
        <v>12457.237208752456</v>
      </c>
      <c r="AG19" s="19">
        <f t="shared" si="11"/>
        <v>557922.9761080962</v>
      </c>
      <c r="AH19" s="12">
        <f>'Customer Usage database'!K20</f>
        <v>89</v>
      </c>
      <c r="AI19" s="18">
        <f>'Customer Usage database'!K36*AH19</f>
        <v>70951.30731341406</v>
      </c>
      <c r="AJ19" s="18">
        <f>'Customer Usage database'!K84*AH19</f>
        <v>204.89631903958596</v>
      </c>
      <c r="AK19" s="18">
        <f t="shared" si="12"/>
        <v>527.6283392735064</v>
      </c>
      <c r="AL19" s="43">
        <f t="shared" si="13"/>
        <v>12430.92367328381</v>
      </c>
      <c r="AM19" s="12">
        <f t="shared" si="1"/>
        <v>2442</v>
      </c>
      <c r="AN19" s="18">
        <f t="shared" si="2"/>
        <v>15166586.97839182</v>
      </c>
      <c r="AO19" s="18">
        <f t="shared" si="3"/>
        <v>37577.668736984684</v>
      </c>
      <c r="AP19" s="43">
        <f t="shared" si="4"/>
        <v>1719610.362826493</v>
      </c>
      <c r="AQ19" s="23">
        <f t="shared" si="14"/>
        <v>11.338149876939754</v>
      </c>
    </row>
    <row r="20" spans="1:43" ht="15">
      <c r="A20" t="s">
        <v>13</v>
      </c>
      <c r="B20" s="12">
        <f>'Customer Usage database'!C21</f>
        <v>2412</v>
      </c>
      <c r="C20" s="18">
        <f>'Customer Usage database'!C37*B20</f>
        <v>1565031.7726972539</v>
      </c>
      <c r="D20" s="18">
        <f>'Customer Usage database'!C85*B20</f>
        <v>3516.9993250698453</v>
      </c>
      <c r="E20" s="19">
        <f t="shared" si="5"/>
        <v>249154.63792708563</v>
      </c>
      <c r="F20" s="12">
        <f>'Customer Usage database'!D21</f>
        <v>164</v>
      </c>
      <c r="G20" s="18">
        <f>'Customer Usage database'!D37*F20</f>
        <v>120328.14458394777</v>
      </c>
      <c r="H20" s="18">
        <f>'Customer Usage database'!D85*F20</f>
        <v>263.9655180357252</v>
      </c>
      <c r="I20" s="19">
        <f t="shared" si="6"/>
        <v>18646.763037856585</v>
      </c>
      <c r="J20" s="12">
        <f>'Customer Usage database'!E21</f>
        <v>79</v>
      </c>
      <c r="K20" s="18">
        <f>'Customer Usage database'!E37*J20</f>
        <v>1326908.2840959127</v>
      </c>
      <c r="L20" s="18">
        <f>'Customer Usage database'!E85*J20</f>
        <v>3864.5538005178837</v>
      </c>
      <c r="M20" s="19">
        <f t="shared" si="0"/>
        <v>171120.5229137974</v>
      </c>
      <c r="N20" s="12">
        <f>'Customer Usage database'!F21</f>
        <v>1</v>
      </c>
      <c r="O20" s="18">
        <f>'Customer Usage database'!F37*N20</f>
        <v>1690117.1206304282</v>
      </c>
      <c r="P20" s="18">
        <f>'Customer Usage database'!F85*N20</f>
        <v>4061.6925301386977</v>
      </c>
      <c r="Q20" s="19">
        <f t="shared" si="7"/>
        <v>189902.790430118</v>
      </c>
      <c r="R20" s="12">
        <f>'Customer Usage database'!G21</f>
        <v>19</v>
      </c>
      <c r="S20" s="18">
        <f>'Customer Usage database'!G37*R20</f>
        <v>161279.97021879035</v>
      </c>
      <c r="T20" s="18">
        <f>'Customer Usage database'!G85*R20</f>
        <v>655.28950849615</v>
      </c>
      <c r="U20" s="19">
        <f t="shared" si="8"/>
        <v>20607.86037079413</v>
      </c>
      <c r="V20" s="12">
        <f>'Customer Usage database'!H21</f>
        <v>3</v>
      </c>
      <c r="W20" s="18">
        <f>'Customer Usage database'!H37*V20</f>
        <v>629857.9785717049</v>
      </c>
      <c r="X20" s="18">
        <f>'Customer Usage database'!H85*V20</f>
        <v>1782.1773821273516</v>
      </c>
      <c r="Y20" s="19">
        <f t="shared" si="9"/>
        <v>67887.01568235118</v>
      </c>
      <c r="Z20" s="12">
        <f>'Customer Usage database'!I21</f>
        <v>1</v>
      </c>
      <c r="AA20" s="18">
        <f>'Customer Usage database'!I37*Z20</f>
        <v>4758928.257481431</v>
      </c>
      <c r="AB20" s="18">
        <f>'Customer Usage database'!I85*Z20</f>
        <v>9971.888291203279</v>
      </c>
      <c r="AC20" s="19">
        <f t="shared" si="10"/>
        <v>482243.1332730684</v>
      </c>
      <c r="AD20" s="12">
        <f>'Customer Usage database'!J21</f>
        <v>1</v>
      </c>
      <c r="AE20" s="18">
        <f>'Customer Usage database'!J37*AD20</f>
        <v>5226445.369496407</v>
      </c>
      <c r="AF20" s="18">
        <f>'Customer Usage database'!J85*AD20</f>
        <v>10727.07088966142</v>
      </c>
      <c r="AG20" s="19">
        <f t="shared" si="11"/>
        <v>526926.3524771149</v>
      </c>
      <c r="AH20" s="12">
        <f>'Customer Usage database'!K21</f>
        <v>92</v>
      </c>
      <c r="AI20" s="18">
        <f>'Customer Usage database'!K37*AH20</f>
        <v>79005.5486955429</v>
      </c>
      <c r="AJ20" s="18">
        <f>'Customer Usage database'!K85*AH20</f>
        <v>211.81775916411792</v>
      </c>
      <c r="AK20" s="18">
        <f t="shared" si="12"/>
        <v>527.6283392735064</v>
      </c>
      <c r="AL20" s="43">
        <f t="shared" si="13"/>
        <v>12430.92367328381</v>
      </c>
      <c r="AM20" s="12">
        <f t="shared" si="1"/>
        <v>2772</v>
      </c>
      <c r="AN20" s="18">
        <f t="shared" si="2"/>
        <v>15557902.44647142</v>
      </c>
      <c r="AO20" s="18">
        <f t="shared" si="3"/>
        <v>35371.26558452386</v>
      </c>
      <c r="AP20" s="43">
        <f t="shared" si="4"/>
        <v>1738919.99978547</v>
      </c>
      <c r="AQ20" s="23">
        <f t="shared" si="14"/>
        <v>11.177085122936111</v>
      </c>
    </row>
    <row r="21" spans="1:43" ht="15">
      <c r="A21" t="s">
        <v>14</v>
      </c>
      <c r="B21" s="12">
        <f>'Customer Usage database'!C22</f>
        <v>2631</v>
      </c>
      <c r="C21" s="18">
        <f>'Customer Usage database'!C38*B21</f>
        <v>1999167.519746393</v>
      </c>
      <c r="D21" s="18">
        <f>'Customer Usage database'!C86*B21</f>
        <v>4468.39979243049</v>
      </c>
      <c r="E21" s="19">
        <f t="shared" si="5"/>
        <v>313395.09323905845</v>
      </c>
      <c r="F21" s="12">
        <f>'Customer Usage database'!D22</f>
        <v>170</v>
      </c>
      <c r="G21" s="18">
        <f>'Customer Usage database'!D38*F21</f>
        <v>130567.35214721305</v>
      </c>
      <c r="H21" s="18">
        <f>'Customer Usage database'!D86*F21</f>
        <v>319.5118778592995</v>
      </c>
      <c r="I21" s="19">
        <f t="shared" si="6"/>
        <v>20103.99301810695</v>
      </c>
      <c r="J21" s="12">
        <f>'Customer Usage database'!E22</f>
        <v>82</v>
      </c>
      <c r="K21" s="18">
        <f>'Customer Usage database'!E38*J21</f>
        <v>1432716.1369837713</v>
      </c>
      <c r="L21" s="18">
        <f>'Customer Usage database'!E86*J21</f>
        <v>3921.4597790048983</v>
      </c>
      <c r="M21" s="19">
        <f t="shared" si="0"/>
        <v>180480.55903237176</v>
      </c>
      <c r="N21" s="12">
        <f>'Customer Usage database'!F22</f>
        <v>1</v>
      </c>
      <c r="O21" s="18">
        <f>'Customer Usage database'!F38*N21</f>
        <v>1579504.2400005148</v>
      </c>
      <c r="P21" s="18">
        <f>'Customer Usage database'!F86*N21</f>
        <v>3501.8926425262</v>
      </c>
      <c r="Q21" s="19">
        <f t="shared" si="7"/>
        <v>173551.15274415349</v>
      </c>
      <c r="R21" s="12">
        <f>'Customer Usage database'!G22</f>
        <v>20</v>
      </c>
      <c r="S21" s="18">
        <f>'Customer Usage database'!G38*R21</f>
        <v>186203.65788482522</v>
      </c>
      <c r="T21" s="18">
        <f>'Customer Usage database'!G86*R21</f>
        <v>698.4616335652731</v>
      </c>
      <c r="U21" s="19">
        <f t="shared" si="8"/>
        <v>23067.517100078087</v>
      </c>
      <c r="V21" s="12">
        <f>'Customer Usage database'!H22</f>
        <v>3</v>
      </c>
      <c r="W21" s="18">
        <f>'Customer Usage database'!H38*V21</f>
        <v>616839.2795915201</v>
      </c>
      <c r="X21" s="18">
        <f>'Customer Usage database'!H86*V21</f>
        <v>1780.6723073859584</v>
      </c>
      <c r="Y21" s="19">
        <f t="shared" si="9"/>
        <v>66925.51674985385</v>
      </c>
      <c r="Z21" s="12">
        <f>'Customer Usage database'!I22</f>
        <v>1</v>
      </c>
      <c r="AA21" s="18">
        <f>'Customer Usage database'!I38*Z21</f>
        <v>4684406.607269142</v>
      </c>
      <c r="AB21" s="18">
        <f>'Customer Usage database'!I86*Z21</f>
        <v>10372.453238588036</v>
      </c>
      <c r="AC21" s="19">
        <f t="shared" si="10"/>
        <v>481369.3600707721</v>
      </c>
      <c r="AD21" s="12">
        <f>'Customer Usage database'!J22</f>
        <v>1</v>
      </c>
      <c r="AE21" s="18">
        <f>'Customer Usage database'!J38*AD21</f>
        <v>5144602.712367264</v>
      </c>
      <c r="AF21" s="18">
        <f>'Customer Usage database'!J86*AD21</f>
        <v>11157.97108238623</v>
      </c>
      <c r="AG21" s="19">
        <f t="shared" si="11"/>
        <v>525858.5898156082</v>
      </c>
      <c r="AH21" s="12">
        <f>'Customer Usage database'!K22</f>
        <v>97</v>
      </c>
      <c r="AI21" s="18">
        <f>'Customer Usage database'!K38*AH21</f>
        <v>97313.03693949901</v>
      </c>
      <c r="AJ21" s="18">
        <f>'Customer Usage database'!K86*AH21</f>
        <v>223.32877136411565</v>
      </c>
      <c r="AK21" s="18">
        <f t="shared" si="12"/>
        <v>527.6283392735064</v>
      </c>
      <c r="AL21" s="43">
        <f t="shared" si="13"/>
        <v>12430.92367328381</v>
      </c>
      <c r="AM21" s="12">
        <f t="shared" si="1"/>
        <v>3006</v>
      </c>
      <c r="AN21" s="18">
        <f t="shared" si="2"/>
        <v>15871320.542930143</v>
      </c>
      <c r="AO21" s="18">
        <f t="shared" si="3"/>
        <v>36748.4506930199</v>
      </c>
      <c r="AP21" s="43">
        <f t="shared" si="4"/>
        <v>1797182.7054432868</v>
      </c>
      <c r="AQ21" s="23">
        <f t="shared" si="14"/>
        <v>11.323460455493347</v>
      </c>
    </row>
    <row r="22" spans="1:43" ht="17.25">
      <c r="A22" t="s">
        <v>15</v>
      </c>
      <c r="B22" s="12">
        <f>'Customer Usage database'!C23</f>
        <v>2967</v>
      </c>
      <c r="C22" s="20">
        <f>'Customer Usage database'!C39*B22</f>
        <v>3000355.7072015475</v>
      </c>
      <c r="D22" s="20">
        <f>'Customer Usage database'!C87*B22</f>
        <v>6271.297278968626</v>
      </c>
      <c r="E22" s="21">
        <f t="shared" si="5"/>
        <v>459713.3018332925</v>
      </c>
      <c r="F22" s="12">
        <f>'Customer Usage database'!D23</f>
        <v>183</v>
      </c>
      <c r="G22" s="20">
        <f>'Customer Usage database'!D39*F22</f>
        <v>175547.19802248554</v>
      </c>
      <c r="H22" s="20">
        <f>'Customer Usage database'!D87*F22</f>
        <v>443.6428367339608</v>
      </c>
      <c r="I22" s="21">
        <f t="shared" si="6"/>
        <v>26288.030953425634</v>
      </c>
      <c r="J22" s="12">
        <f>'Customer Usage database'!E23</f>
        <v>80</v>
      </c>
      <c r="K22" s="20">
        <f>'Customer Usage database'!E39*J22</f>
        <v>1587447.5677786693</v>
      </c>
      <c r="L22" s="20">
        <f>'Customer Usage database'!E87*J22</f>
        <v>4318.7172720772805</v>
      </c>
      <c r="M22" s="21">
        <f t="shared" si="0"/>
        <v>199524.4407244487</v>
      </c>
      <c r="N22" s="12">
        <f>'Customer Usage database'!F23</f>
        <v>1</v>
      </c>
      <c r="O22" s="20">
        <f>'Customer Usage database'!F39*N22</f>
        <v>1609196.4761142035</v>
      </c>
      <c r="P22" s="20">
        <f>'Customer Usage database'!F87*N22</f>
        <v>3614.5554930388157</v>
      </c>
      <c r="Q22" s="21">
        <f t="shared" si="7"/>
        <v>177438.6281218124</v>
      </c>
      <c r="R22" s="12">
        <f>'Customer Usage database'!G23</f>
        <v>20</v>
      </c>
      <c r="S22" s="20">
        <f>'Customer Usage database'!G39*R22</f>
        <v>215937.2622156487</v>
      </c>
      <c r="T22" s="20">
        <f>'Customer Usage database'!G87*R22</f>
        <v>762.5555405086635</v>
      </c>
      <c r="U22" s="21">
        <f t="shared" si="8"/>
        <v>26158.977944508166</v>
      </c>
      <c r="V22" s="12">
        <f>'Customer Usage database'!H23</f>
        <v>3</v>
      </c>
      <c r="W22" s="20">
        <f>'Customer Usage database'!H39*V22</f>
        <v>628361.1615945065</v>
      </c>
      <c r="X22" s="20">
        <f>'Customer Usage database'!H87*V22</f>
        <v>1979.3811824576323</v>
      </c>
      <c r="Y22" s="21">
        <f t="shared" si="9"/>
        <v>70243.87587296107</v>
      </c>
      <c r="Z22" s="12">
        <f>'Customer Usage database'!I23</f>
        <v>1</v>
      </c>
      <c r="AA22" s="20">
        <f>'Customer Usage database'!I39*Z22</f>
        <v>4019695.14536307</v>
      </c>
      <c r="AB22" s="20">
        <f>'Customer Usage database'!I87*Z22</f>
        <v>10852.215726448783</v>
      </c>
      <c r="AC22" s="21">
        <f t="shared" si="10"/>
        <v>436473.097715419</v>
      </c>
      <c r="AD22" s="12">
        <f>'Customer Usage database'!J23</f>
        <v>1</v>
      </c>
      <c r="AE22" s="20">
        <f>'Customer Usage database'!J39*AD22</f>
        <v>4414589.996443539</v>
      </c>
      <c r="AF22" s="20">
        <f>'Customer Usage database'!J87*AD22</f>
        <v>11674.066536646635</v>
      </c>
      <c r="AG22" s="21">
        <f t="shared" si="11"/>
        <v>476422.185836074</v>
      </c>
      <c r="AH22" s="12">
        <f>'Customer Usage database'!K23</f>
        <v>101</v>
      </c>
      <c r="AI22" s="20">
        <f>'Customer Usage database'!K39*AH22</f>
        <v>111416.2035414193</v>
      </c>
      <c r="AJ22" s="20">
        <f>'Customer Usage database'!K87*AH22</f>
        <v>232.55019562218374</v>
      </c>
      <c r="AK22" s="20">
        <f t="shared" si="12"/>
        <v>527.6283392735064</v>
      </c>
      <c r="AL22" s="44">
        <f t="shared" si="13"/>
        <v>12430.92367328381</v>
      </c>
      <c r="AM22" s="12">
        <f t="shared" si="1"/>
        <v>3357</v>
      </c>
      <c r="AN22" s="20">
        <f t="shared" si="2"/>
        <v>15762546.718275087</v>
      </c>
      <c r="AO22" s="20">
        <f t="shared" si="3"/>
        <v>40444.0602061539</v>
      </c>
      <c r="AP22" s="44">
        <f t="shared" si="4"/>
        <v>1884693.4626752252</v>
      </c>
      <c r="AQ22" s="47">
        <f t="shared" si="14"/>
        <v>11.95678272274437</v>
      </c>
    </row>
    <row r="23" spans="1:43" ht="15">
      <c r="A23" t="s">
        <v>24</v>
      </c>
      <c r="B23" s="12"/>
      <c r="C23" s="22">
        <f>SUM(C11:C22)</f>
        <v>13861130.901833637</v>
      </c>
      <c r="D23" s="22">
        <f>MAX(D11:D22)</f>
        <v>6271.297278968626</v>
      </c>
      <c r="E23" s="16">
        <f>SUM(E11:E22)</f>
        <v>2180101.7448203117</v>
      </c>
      <c r="F23" s="12"/>
      <c r="G23" s="22">
        <f>SUM(G11:G22)</f>
        <v>1088548.104571109</v>
      </c>
      <c r="H23" s="22">
        <f>MAX(H11:H22)</f>
        <v>443.6428367339608</v>
      </c>
      <c r="I23" s="16">
        <f>SUM(I11:I22)</f>
        <v>167001.0573249518</v>
      </c>
      <c r="J23" s="12"/>
      <c r="K23" s="22">
        <f>SUM(K11:K22)</f>
        <v>12395605.330326676</v>
      </c>
      <c r="L23" s="22">
        <f>MAX(L11:L22)</f>
        <v>4318.7172720772805</v>
      </c>
      <c r="M23" s="16">
        <f>SUM(M11:M22)</f>
        <v>1575036.1886269632</v>
      </c>
      <c r="N23" s="12"/>
      <c r="O23" s="22">
        <f>SUM(O11:O22)</f>
        <v>19981535.254148994</v>
      </c>
      <c r="P23" s="22">
        <f>MAX(P11:P22)</f>
        <v>4269.759881141887</v>
      </c>
      <c r="Q23" s="16">
        <f>SUM(Q11:Q22)</f>
        <v>2199362.7543737274</v>
      </c>
      <c r="R23" s="12"/>
      <c r="S23" s="22">
        <f>SUM(S11:S22)</f>
        <v>1726701.5607586133</v>
      </c>
      <c r="T23" s="22">
        <f>MAX(T11:T22)</f>
        <v>762.5555405086635</v>
      </c>
      <c r="U23" s="16">
        <f>SUM(U11:U22)</f>
        <v>213465.24810776586</v>
      </c>
      <c r="V23" s="12"/>
      <c r="W23" s="22">
        <f>SUM(W11:W22)</f>
        <v>5219555.86311402</v>
      </c>
      <c r="X23" s="22">
        <f>MAX(X11:X22)</f>
        <v>1979.3811824576323</v>
      </c>
      <c r="Y23" s="16">
        <f>SUM(Y11:Y22)</f>
        <v>567176.387003857</v>
      </c>
      <c r="Z23" s="12"/>
      <c r="AA23" s="22">
        <f>SUM(AA11:AA22)</f>
        <v>54453604.74670095</v>
      </c>
      <c r="AB23" s="22">
        <f>MAX(AB11:AB22)</f>
        <v>11580.251416295177</v>
      </c>
      <c r="AC23" s="16">
        <f>SUM(AC11:AC22)</f>
        <v>5641262.907347238</v>
      </c>
      <c r="AD23" s="12"/>
      <c r="AE23" s="22">
        <f>SUM(AE11:AE22)</f>
        <v>20146509.6765895</v>
      </c>
      <c r="AF23" s="22">
        <f>MAX(AF11:AF22)</f>
        <v>12457.237208752456</v>
      </c>
      <c r="AG23" s="16">
        <f>SUM(AG11:AG22)</f>
        <v>2087130.1042368934</v>
      </c>
      <c r="AH23" s="12"/>
      <c r="AI23" s="22">
        <f>SUM(AI11:AI22)</f>
        <v>633154.0071282077</v>
      </c>
      <c r="AJ23" s="22">
        <f>MAX(AJ11:AJ22)</f>
        <v>232.55019562218374</v>
      </c>
      <c r="AK23" s="22">
        <f>AI23/(100*12)</f>
        <v>527.6283392735064</v>
      </c>
      <c r="AL23" s="42">
        <f>SUM(AL11:AL22)</f>
        <v>149171.0840794057</v>
      </c>
      <c r="AM23" s="12"/>
      <c r="AN23" s="22">
        <f>SUM(AN11:AN22)</f>
        <v>129506345.44517171</v>
      </c>
      <c r="AO23" s="22">
        <f>MAX(AO11:AO22)</f>
        <v>40444.0602061539</v>
      </c>
      <c r="AP23" s="43">
        <f>SUM(AP11:AP22)</f>
        <v>14779707.475921113</v>
      </c>
      <c r="AQ23" s="23">
        <f t="shared" si="14"/>
        <v>11.41234232586565</v>
      </c>
    </row>
    <row r="24" spans="2:43" ht="7.5" customHeight="1">
      <c r="B24" s="12"/>
      <c r="C24" s="13"/>
      <c r="D24" s="13"/>
      <c r="E24" s="14"/>
      <c r="F24" s="12"/>
      <c r="G24" s="13"/>
      <c r="H24" s="13"/>
      <c r="I24" s="14"/>
      <c r="J24" s="12"/>
      <c r="K24" s="13"/>
      <c r="L24" s="13"/>
      <c r="M24" s="14"/>
      <c r="N24" s="12"/>
      <c r="O24" s="13"/>
      <c r="P24" s="13"/>
      <c r="Q24" s="14"/>
      <c r="R24" s="12"/>
      <c r="S24" s="13"/>
      <c r="T24" s="13"/>
      <c r="U24" s="14"/>
      <c r="V24" s="12"/>
      <c r="W24" s="13"/>
      <c r="X24" s="13"/>
      <c r="Y24" s="14"/>
      <c r="Z24" s="12"/>
      <c r="AA24" s="13"/>
      <c r="AB24" s="13"/>
      <c r="AC24" s="14"/>
      <c r="AD24" s="12"/>
      <c r="AE24" s="13"/>
      <c r="AF24" s="13"/>
      <c r="AG24" s="14"/>
      <c r="AH24" s="12"/>
      <c r="AI24" s="13"/>
      <c r="AJ24" s="13"/>
      <c r="AK24" s="13"/>
      <c r="AL24" s="13"/>
      <c r="AM24" s="12"/>
      <c r="AN24" s="13"/>
      <c r="AO24" s="13"/>
      <c r="AP24" s="13"/>
      <c r="AQ24" s="14"/>
    </row>
    <row r="25" spans="1:43" ht="15">
      <c r="A25" t="s">
        <v>31</v>
      </c>
      <c r="B25" s="12"/>
      <c r="C25" s="13"/>
      <c r="D25" s="13"/>
      <c r="E25" s="23">
        <f>E23/C23*100</f>
        <v>15.72816648410639</v>
      </c>
      <c r="F25" s="12"/>
      <c r="G25" s="13"/>
      <c r="H25" s="13"/>
      <c r="I25" s="23">
        <f>I23/G23*100</f>
        <v>15.34163319229247</v>
      </c>
      <c r="J25" s="12"/>
      <c r="K25" s="13"/>
      <c r="L25" s="13"/>
      <c r="M25" s="23">
        <f>M23/K23*100</f>
        <v>12.7064080103739</v>
      </c>
      <c r="N25" s="12"/>
      <c r="O25" s="13"/>
      <c r="P25" s="13"/>
      <c r="Q25" s="23">
        <f>Q23/O23*100</f>
        <v>11.0069758224261</v>
      </c>
      <c r="R25" s="12"/>
      <c r="S25" s="13"/>
      <c r="T25" s="13"/>
      <c r="U25" s="23">
        <f>U23/S23*100</f>
        <v>12.362602372003504</v>
      </c>
      <c r="V25" s="12"/>
      <c r="W25" s="13"/>
      <c r="X25" s="13"/>
      <c r="Y25" s="23">
        <f>Y23/W23*100</f>
        <v>10.866372578019998</v>
      </c>
      <c r="Z25" s="12"/>
      <c r="AA25" s="13"/>
      <c r="AB25" s="13"/>
      <c r="AC25" s="23">
        <f>AC23/AA23*100</f>
        <v>10.3597602648868</v>
      </c>
      <c r="AD25" s="12"/>
      <c r="AE25" s="13"/>
      <c r="AF25" s="13"/>
      <c r="AG25" s="23">
        <f>AG23/AE23*100</f>
        <v>10.359760264886802</v>
      </c>
      <c r="AH25" s="12"/>
      <c r="AI25" s="13"/>
      <c r="AJ25" s="13"/>
      <c r="AK25" s="13"/>
      <c r="AL25" s="38">
        <f>AL23/AI23*100</f>
        <v>23.559999999999995</v>
      </c>
      <c r="AM25" s="12"/>
      <c r="AN25" s="13"/>
      <c r="AO25" s="13"/>
      <c r="AP25" s="38">
        <f>AP23/AN23*100</f>
        <v>11.41234232586565</v>
      </c>
      <c r="AQ25" s="14"/>
    </row>
    <row r="26" spans="2:43" ht="8.25" customHeight="1">
      <c r="B26" s="24"/>
      <c r="C26" s="25"/>
      <c r="D26" s="25"/>
      <c r="E26" s="26"/>
      <c r="F26" s="24"/>
      <c r="G26" s="25"/>
      <c r="H26" s="25"/>
      <c r="I26" s="26"/>
      <c r="J26" s="24"/>
      <c r="K26" s="25"/>
      <c r="L26" s="25"/>
      <c r="M26" s="26"/>
      <c r="N26" s="24"/>
      <c r="O26" s="25"/>
      <c r="P26" s="25"/>
      <c r="Q26" s="26"/>
      <c r="R26" s="24"/>
      <c r="S26" s="25"/>
      <c r="T26" s="25"/>
      <c r="U26" s="26"/>
      <c r="V26" s="24"/>
      <c r="W26" s="25"/>
      <c r="X26" s="25"/>
      <c r="Y26" s="26"/>
      <c r="Z26" s="24"/>
      <c r="AA26" s="25"/>
      <c r="AB26" s="25"/>
      <c r="AC26" s="26"/>
      <c r="AD26" s="24"/>
      <c r="AE26" s="25"/>
      <c r="AF26" s="25"/>
      <c r="AG26" s="26"/>
      <c r="AH26" s="24"/>
      <c r="AI26" s="25"/>
      <c r="AJ26" s="25"/>
      <c r="AK26" s="25"/>
      <c r="AL26" s="25"/>
      <c r="AM26" s="24"/>
      <c r="AN26" s="25"/>
      <c r="AO26" s="25"/>
      <c r="AP26" s="25"/>
      <c r="AQ26" s="26"/>
    </row>
    <row r="28" spans="1:40" ht="15.75">
      <c r="A28" s="6" t="s">
        <v>184</v>
      </c>
      <c r="C28" s="211"/>
      <c r="E28" s="73"/>
      <c r="G28" s="211"/>
      <c r="I28" s="73"/>
      <c r="K28" s="211"/>
      <c r="M28" s="73"/>
      <c r="O28" s="211"/>
      <c r="Q28" s="73"/>
      <c r="S28" s="211"/>
      <c r="U28" s="73"/>
      <c r="W28" s="211"/>
      <c r="Y28" s="73"/>
      <c r="AA28" s="211"/>
      <c r="AC28" s="73"/>
      <c r="AE28" s="211"/>
      <c r="AG28" s="73"/>
      <c r="AI28" s="211"/>
      <c r="AL28" s="73"/>
      <c r="AN28" s="211"/>
    </row>
    <row r="29" ht="15">
      <c r="A29" t="s">
        <v>219</v>
      </c>
    </row>
    <row r="30" ht="15">
      <c r="A30" t="s">
        <v>185</v>
      </c>
    </row>
    <row r="31" spans="5:38" ht="15">
      <c r="E31" s="72"/>
      <c r="I31" s="72"/>
      <c r="M31" s="72"/>
      <c r="Q31" s="72"/>
      <c r="U31" s="72"/>
      <c r="Y31" s="72"/>
      <c r="AC31" s="72"/>
      <c r="AG31" s="72"/>
      <c r="AL31" s="72"/>
    </row>
    <row r="32" spans="5:38" ht="15">
      <c r="E32" s="8"/>
      <c r="I32" s="8"/>
      <c r="M32" s="8"/>
      <c r="Q32" s="8"/>
      <c r="U32" s="8"/>
      <c r="Y32" s="8"/>
      <c r="AC32" s="8"/>
      <c r="AG32" s="8"/>
      <c r="AL32" s="8"/>
    </row>
  </sheetData>
  <sheetProtection/>
  <mergeCells count="10">
    <mergeCell ref="AM2:AQ2"/>
    <mergeCell ref="Z2:AC2"/>
    <mergeCell ref="AD2:AG2"/>
    <mergeCell ref="AH2:AL2"/>
    <mergeCell ref="B2:E2"/>
    <mergeCell ref="F2:I2"/>
    <mergeCell ref="J2:M2"/>
    <mergeCell ref="N2:Q2"/>
    <mergeCell ref="R2:U2"/>
    <mergeCell ref="V2:Y2"/>
  </mergeCells>
  <conditionalFormatting sqref="A5:A6">
    <cfRule type="cellIs" priority="8" dxfId="18" operator="lessThan" stopIfTrue="1">
      <formula>0</formula>
    </cfRule>
  </conditionalFormatting>
  <conditionalFormatting sqref="A4">
    <cfRule type="cellIs" priority="9" dxfId="18" operator="lessThan" stopIfTrue="1">
      <formula>0</formula>
    </cfRule>
  </conditionalFormatting>
  <conditionalFormatting sqref="B7">
    <cfRule type="cellIs" priority="5" dxfId="18" operator="lessThan" stopIfTrue="1">
      <formula>0</formula>
    </cfRule>
  </conditionalFormatting>
  <conditionalFormatting sqref="A7">
    <cfRule type="cellIs" priority="7" dxfId="18" operator="lessThan" stopIfTrue="1">
      <formula>0</formula>
    </cfRule>
  </conditionalFormatting>
  <conditionalFormatting sqref="B4:B6">
    <cfRule type="cellIs" priority="6" dxfId="18" operator="lessThan" stopIfTrue="1">
      <formula>0</formula>
    </cfRule>
  </conditionalFormatting>
  <conditionalFormatting sqref="F7">
    <cfRule type="cellIs" priority="3" dxfId="18" operator="lessThan" stopIfTrue="1">
      <formula>0</formula>
    </cfRule>
  </conditionalFormatting>
  <conditionalFormatting sqref="F4:F6">
    <cfRule type="cellIs" priority="4" dxfId="18" operator="lessThan" stopIfTrue="1">
      <formula>0</formula>
    </cfRule>
  </conditionalFormatting>
  <conditionalFormatting sqref="AH7">
    <cfRule type="cellIs" priority="1" dxfId="18" operator="lessThan" stopIfTrue="1">
      <formula>0</formula>
    </cfRule>
  </conditionalFormatting>
  <conditionalFormatting sqref="AH4:AH6">
    <cfRule type="cellIs" priority="2" dxfId="18" operator="lessThan" stopIfTrue="1">
      <formula>0</formula>
    </cfRule>
  </conditionalFormatting>
  <printOptions/>
  <pageMargins left="0.7" right="0.7" top="0.75" bottom="0.75" header="0.3" footer="0.3"/>
  <pageSetup horizontalDpi="600" verticalDpi="600" orientation="landscape" paperSize="17" r:id="rId1"/>
</worksheet>
</file>

<file path=xl/worksheets/sheet3.xml><?xml version="1.0" encoding="utf-8"?>
<worksheet xmlns="http://schemas.openxmlformats.org/spreadsheetml/2006/main" xmlns:r="http://schemas.openxmlformats.org/officeDocument/2006/relationships">
  <dimension ref="A1:AQ29"/>
  <sheetViews>
    <sheetView zoomScale="70" zoomScaleNormal="70" zoomScalePageLayoutView="0" workbookViewId="0" topLeftCell="A1">
      <pane xSplit="1" ySplit="9" topLeftCell="B10" activePane="bottomRight" state="frozen"/>
      <selection pane="topLeft" activeCell="A1" sqref="A1"/>
      <selection pane="topRight" activeCell="B1" sqref="B1"/>
      <selection pane="bottomLeft" activeCell="A12" sqref="A12"/>
      <selection pane="bottomRight" activeCell="B10" sqref="B10"/>
    </sheetView>
  </sheetViews>
  <sheetFormatPr defaultColWidth="8.88671875" defaultRowHeight="15"/>
  <cols>
    <col min="1" max="1" width="24.5546875" style="0" bestFit="1" customWidth="1"/>
    <col min="2" max="2" width="9.4453125" style="0" bestFit="1" customWidth="1"/>
    <col min="3" max="3" width="10.99609375" style="0" bestFit="1" customWidth="1"/>
    <col min="4" max="4" width="7.99609375" style="0" bestFit="1" customWidth="1"/>
    <col min="5" max="5" width="8.4453125" style="0" bestFit="1" customWidth="1"/>
    <col min="6" max="6" width="9.4453125" style="0" bestFit="1" customWidth="1"/>
    <col min="7" max="7" width="9.99609375" style="0" bestFit="1" customWidth="1"/>
    <col min="8" max="8" width="6.5546875" style="0" bestFit="1" customWidth="1"/>
    <col min="9" max="9" width="7.77734375" style="0" bestFit="1" customWidth="1"/>
    <col min="10" max="10" width="9.4453125" style="0" bestFit="1" customWidth="1"/>
    <col min="11" max="11" width="10.99609375" style="0" bestFit="1" customWidth="1"/>
    <col min="12" max="12" width="6.5546875" style="0" bestFit="1" customWidth="1"/>
    <col min="13" max="13" width="8.4453125" style="0" bestFit="1" customWidth="1"/>
    <col min="14" max="14" width="9.4453125" style="0" bestFit="1" customWidth="1"/>
    <col min="15" max="15" width="10.99609375" style="0" bestFit="1" customWidth="1"/>
    <col min="16" max="16" width="6.5546875" style="0" bestFit="1" customWidth="1"/>
    <col min="17" max="17" width="8.4453125" style="0" bestFit="1" customWidth="1"/>
    <col min="18" max="18" width="9.4453125" style="0" bestFit="1" customWidth="1"/>
    <col min="19" max="19" width="9.99609375" style="0" bestFit="1" customWidth="1"/>
    <col min="20" max="20" width="5.10546875" style="0" bestFit="1" customWidth="1"/>
    <col min="21" max="21" width="14.6640625" style="0" bestFit="1" customWidth="1"/>
    <col min="22" max="22" width="9.4453125" style="0" bestFit="1" customWidth="1"/>
    <col min="23" max="23" width="9.99609375" style="0" bestFit="1" customWidth="1"/>
    <col min="24" max="24" width="6.5546875" style="0" bestFit="1" customWidth="1"/>
    <col min="25" max="25" width="9.88671875" style="0" bestFit="1" customWidth="1"/>
    <col min="26" max="26" width="9.4453125" style="0" bestFit="1" customWidth="1"/>
    <col min="27" max="27" width="10.99609375" style="0" bestFit="1" customWidth="1"/>
    <col min="28" max="28" width="7.5546875" style="0" bestFit="1" customWidth="1"/>
    <col min="29" max="29" width="10.88671875" style="0" bestFit="1" customWidth="1"/>
    <col min="30" max="30" width="9.4453125" style="0" bestFit="1" customWidth="1"/>
    <col min="31" max="31" width="10.99609375" style="0" bestFit="1" customWidth="1"/>
    <col min="32" max="32" width="7.5546875" style="0" bestFit="1" customWidth="1"/>
    <col min="33" max="33" width="7.77734375" style="0" bestFit="1" customWidth="1"/>
    <col min="34" max="34" width="10.4453125" style="0" bestFit="1" customWidth="1"/>
    <col min="35" max="35" width="8.5546875" style="0" bestFit="1" customWidth="1"/>
    <col min="36" max="36" width="6.5546875" style="0" bestFit="1" customWidth="1"/>
    <col min="37" max="37" width="9.77734375" style="0" bestFit="1" customWidth="1"/>
    <col min="38" max="38" width="9.88671875" style="0" bestFit="1" customWidth="1"/>
    <col min="39" max="39" width="9.4453125" style="0" bestFit="1" customWidth="1"/>
    <col min="40" max="40" width="11.99609375" style="0" bestFit="1" customWidth="1"/>
    <col min="41" max="41" width="7.5546875" style="0" bestFit="1" customWidth="1"/>
    <col min="42" max="42" width="12.3359375" style="0" bestFit="1" customWidth="1"/>
    <col min="43" max="43" width="7.4453125" style="0" bestFit="1" customWidth="1"/>
  </cols>
  <sheetData>
    <row r="1" spans="2:41" ht="15" customHeight="1">
      <c r="B1" s="3"/>
      <c r="C1" s="3"/>
      <c r="D1" s="3"/>
      <c r="E1" s="3"/>
      <c r="F1" s="3"/>
      <c r="G1" s="3"/>
      <c r="H1" s="3"/>
      <c r="I1" s="3"/>
      <c r="J1" s="3"/>
      <c r="K1" s="3"/>
      <c r="L1" s="3"/>
      <c r="M1" s="3"/>
      <c r="N1" s="3"/>
      <c r="O1" s="3"/>
      <c r="P1" s="3"/>
      <c r="Q1" s="3"/>
      <c r="R1" s="3"/>
      <c r="S1" s="3"/>
      <c r="T1" s="3"/>
      <c r="U1" s="3" t="s">
        <v>18</v>
      </c>
      <c r="V1" s="3"/>
      <c r="W1" s="3"/>
      <c r="X1" s="3"/>
      <c r="Y1" s="3"/>
      <c r="Z1" s="3"/>
      <c r="AA1" s="3"/>
      <c r="AB1" s="3"/>
      <c r="AC1" s="3"/>
      <c r="AD1" s="3"/>
      <c r="AE1" s="3"/>
      <c r="AF1" s="3"/>
      <c r="AG1" s="3"/>
      <c r="AH1" s="3"/>
      <c r="AI1" s="3"/>
      <c r="AJ1" s="3"/>
      <c r="AK1" s="3"/>
      <c r="AL1" s="3"/>
      <c r="AM1" s="3"/>
      <c r="AN1" s="3"/>
      <c r="AO1" s="3"/>
    </row>
    <row r="2" spans="1:43" ht="54.75" customHeight="1">
      <c r="A2" s="81" t="s">
        <v>41</v>
      </c>
      <c r="B2" s="285" t="s">
        <v>0</v>
      </c>
      <c r="C2" s="286"/>
      <c r="D2" s="286"/>
      <c r="E2" s="287"/>
      <c r="F2" s="285" t="s">
        <v>16</v>
      </c>
      <c r="G2" s="286"/>
      <c r="H2" s="286"/>
      <c r="I2" s="287"/>
      <c r="J2" s="285" t="s">
        <v>1</v>
      </c>
      <c r="K2" s="286"/>
      <c r="L2" s="286"/>
      <c r="M2" s="287"/>
      <c r="N2" s="285" t="s">
        <v>17</v>
      </c>
      <c r="O2" s="286"/>
      <c r="P2" s="286"/>
      <c r="Q2" s="287"/>
      <c r="R2" s="285" t="s">
        <v>36</v>
      </c>
      <c r="S2" s="286"/>
      <c r="T2" s="286"/>
      <c r="U2" s="287"/>
      <c r="V2" s="285" t="s">
        <v>37</v>
      </c>
      <c r="W2" s="286"/>
      <c r="X2" s="286"/>
      <c r="Y2" s="287"/>
      <c r="Z2" s="285" t="s">
        <v>38</v>
      </c>
      <c r="AA2" s="286"/>
      <c r="AB2" s="286"/>
      <c r="AC2" s="287"/>
      <c r="AD2" s="285" t="s">
        <v>201</v>
      </c>
      <c r="AE2" s="286"/>
      <c r="AF2" s="286"/>
      <c r="AG2" s="287"/>
      <c r="AH2" s="285" t="s">
        <v>2</v>
      </c>
      <c r="AI2" s="286"/>
      <c r="AJ2" s="286"/>
      <c r="AK2" s="286"/>
      <c r="AL2" s="286"/>
      <c r="AM2" s="285" t="s">
        <v>183</v>
      </c>
      <c r="AN2" s="286"/>
      <c r="AO2" s="286"/>
      <c r="AP2" s="286"/>
      <c r="AQ2" s="46"/>
    </row>
    <row r="3" spans="1:43" ht="15">
      <c r="A3" s="82"/>
      <c r="B3" s="12"/>
      <c r="C3" s="13"/>
      <c r="D3" s="13"/>
      <c r="E3" s="14"/>
      <c r="F3" s="12"/>
      <c r="G3" s="13"/>
      <c r="H3" s="13"/>
      <c r="I3" s="14"/>
      <c r="J3" s="12"/>
      <c r="K3" s="13"/>
      <c r="L3" s="13"/>
      <c r="M3" s="14"/>
      <c r="N3" s="12"/>
      <c r="O3" s="13"/>
      <c r="P3" s="13"/>
      <c r="Q3" s="14"/>
      <c r="R3" s="12"/>
      <c r="S3" s="13"/>
      <c r="T3" s="13"/>
      <c r="U3" s="14"/>
      <c r="V3" s="12"/>
      <c r="W3" s="13"/>
      <c r="X3" s="13"/>
      <c r="Y3" s="14"/>
      <c r="Z3" s="12"/>
      <c r="AA3" s="13"/>
      <c r="AB3" s="13"/>
      <c r="AC3" s="14"/>
      <c r="AD3" s="12"/>
      <c r="AE3" s="13"/>
      <c r="AF3" s="13"/>
      <c r="AG3" s="14"/>
      <c r="AH3" s="12"/>
      <c r="AI3" s="13"/>
      <c r="AJ3" s="13"/>
      <c r="AK3" s="13"/>
      <c r="AL3" s="13"/>
      <c r="AM3" s="12"/>
      <c r="AN3" s="13"/>
      <c r="AO3" s="13"/>
      <c r="AP3" s="13"/>
      <c r="AQ3" s="14"/>
    </row>
    <row r="4" spans="1:43" ht="15.75">
      <c r="A4" s="85" t="s">
        <v>32</v>
      </c>
      <c r="B4" s="15"/>
      <c r="C4" s="13"/>
      <c r="D4" s="13"/>
      <c r="E4" s="16">
        <v>10.83</v>
      </c>
      <c r="F4" s="15"/>
      <c r="G4" s="13"/>
      <c r="H4" s="13"/>
      <c r="I4" s="16">
        <v>12.65</v>
      </c>
      <c r="J4" s="12"/>
      <c r="K4" s="13"/>
      <c r="L4" s="13"/>
      <c r="M4" s="16">
        <v>0</v>
      </c>
      <c r="N4" s="12"/>
      <c r="O4" s="13"/>
      <c r="P4" s="13"/>
      <c r="Q4" s="16">
        <v>0</v>
      </c>
      <c r="R4" s="12"/>
      <c r="S4" s="13"/>
      <c r="T4" s="13"/>
      <c r="U4" s="16">
        <v>0</v>
      </c>
      <c r="V4" s="12"/>
      <c r="W4" s="13"/>
      <c r="X4" s="13"/>
      <c r="Y4" s="16">
        <v>0</v>
      </c>
      <c r="Z4" s="12"/>
      <c r="AA4" s="13"/>
      <c r="AB4" s="13"/>
      <c r="AC4" s="16">
        <v>0</v>
      </c>
      <c r="AD4" s="12"/>
      <c r="AE4" s="13"/>
      <c r="AF4" s="13"/>
      <c r="AG4" s="16">
        <v>0</v>
      </c>
      <c r="AH4" s="32" t="s">
        <v>266</v>
      </c>
      <c r="AI4" s="13"/>
      <c r="AJ4" s="13"/>
      <c r="AK4" s="13"/>
      <c r="AL4" s="42">
        <v>12.23</v>
      </c>
      <c r="AM4" s="12"/>
      <c r="AN4" s="13"/>
      <c r="AO4" s="13"/>
      <c r="AP4" s="42"/>
      <c r="AQ4" s="14"/>
    </row>
    <row r="5" spans="1:43" ht="15.75">
      <c r="A5" s="85" t="s">
        <v>35</v>
      </c>
      <c r="B5" s="15"/>
      <c r="C5" s="13"/>
      <c r="D5" s="13"/>
      <c r="E5" s="33">
        <v>2.549</v>
      </c>
      <c r="F5" s="34"/>
      <c r="G5" s="35"/>
      <c r="H5" s="35"/>
      <c r="I5" s="33">
        <v>2.362</v>
      </c>
      <c r="J5" s="36"/>
      <c r="K5" s="35"/>
      <c r="L5" s="35"/>
      <c r="M5" s="33">
        <v>0</v>
      </c>
      <c r="N5" s="36"/>
      <c r="O5" s="35"/>
      <c r="P5" s="35"/>
      <c r="Q5" s="33">
        <v>0</v>
      </c>
      <c r="R5" s="36"/>
      <c r="S5" s="35"/>
      <c r="T5" s="35"/>
      <c r="U5" s="33">
        <v>0</v>
      </c>
      <c r="V5" s="36"/>
      <c r="W5" s="35"/>
      <c r="X5" s="35"/>
      <c r="Y5" s="33">
        <v>0</v>
      </c>
      <c r="Z5" s="36"/>
      <c r="AA5" s="35"/>
      <c r="AB5" s="35"/>
      <c r="AC5" s="33">
        <v>0</v>
      </c>
      <c r="AD5" s="36"/>
      <c r="AE5" s="35"/>
      <c r="AF5" s="35"/>
      <c r="AG5" s="33">
        <v>0</v>
      </c>
      <c r="AH5" s="34"/>
      <c r="AI5" s="35"/>
      <c r="AJ5" s="35"/>
      <c r="AK5" s="35"/>
      <c r="AL5" s="35">
        <v>0</v>
      </c>
      <c r="AM5" s="12"/>
      <c r="AN5" s="13"/>
      <c r="AO5" s="13"/>
      <c r="AP5" s="13"/>
      <c r="AQ5" s="14"/>
    </row>
    <row r="6" spans="1:43" ht="15.75">
      <c r="A6" s="85" t="s">
        <v>33</v>
      </c>
      <c r="B6" s="15"/>
      <c r="C6" s="13"/>
      <c r="D6" s="13"/>
      <c r="E6" s="33">
        <v>2.549</v>
      </c>
      <c r="F6" s="34"/>
      <c r="G6" s="35"/>
      <c r="H6" s="35"/>
      <c r="I6" s="33">
        <v>2.362</v>
      </c>
      <c r="J6" s="36"/>
      <c r="K6" s="35"/>
      <c r="L6" s="35"/>
      <c r="M6" s="33">
        <v>0</v>
      </c>
      <c r="N6" s="36"/>
      <c r="O6" s="35"/>
      <c r="P6" s="35"/>
      <c r="Q6" s="33">
        <v>0</v>
      </c>
      <c r="R6" s="36"/>
      <c r="S6" s="35"/>
      <c r="T6" s="35"/>
      <c r="U6" s="33">
        <v>0</v>
      </c>
      <c r="V6" s="36"/>
      <c r="W6" s="35"/>
      <c r="X6" s="35"/>
      <c r="Y6" s="33">
        <v>0</v>
      </c>
      <c r="Z6" s="36"/>
      <c r="AA6" s="35"/>
      <c r="AB6" s="35"/>
      <c r="AC6" s="33">
        <v>0</v>
      </c>
      <c r="AD6" s="36"/>
      <c r="AE6" s="35"/>
      <c r="AF6" s="35"/>
      <c r="AG6" s="33">
        <v>0</v>
      </c>
      <c r="AH6" s="34"/>
      <c r="AI6" s="35"/>
      <c r="AJ6" s="35"/>
      <c r="AK6" s="35"/>
      <c r="AL6" s="35">
        <v>0</v>
      </c>
      <c r="AM6" s="12"/>
      <c r="AN6" s="13"/>
      <c r="AO6" s="13"/>
      <c r="AP6" s="13"/>
      <c r="AQ6" s="14"/>
    </row>
    <row r="7" spans="1:43" ht="15.75">
      <c r="A7" s="85" t="s">
        <v>34</v>
      </c>
      <c r="B7" s="15"/>
      <c r="C7" s="13"/>
      <c r="D7" s="13"/>
      <c r="E7" s="17">
        <v>0</v>
      </c>
      <c r="F7" s="27"/>
      <c r="G7" s="28"/>
      <c r="H7" s="28"/>
      <c r="I7" s="17">
        <v>0</v>
      </c>
      <c r="J7" s="12"/>
      <c r="K7" s="13"/>
      <c r="L7" s="13"/>
      <c r="M7" s="17">
        <v>5.458</v>
      </c>
      <c r="N7" s="12"/>
      <c r="O7" s="13"/>
      <c r="P7" s="13"/>
      <c r="Q7" s="17">
        <v>3.361</v>
      </c>
      <c r="R7" s="12"/>
      <c r="S7" s="13"/>
      <c r="T7" s="13"/>
      <c r="U7" s="17">
        <v>4.494</v>
      </c>
      <c r="V7" s="12"/>
      <c r="W7" s="13"/>
      <c r="X7" s="13"/>
      <c r="Y7" s="17">
        <v>3.496</v>
      </c>
      <c r="Z7" s="12"/>
      <c r="AA7" s="13"/>
      <c r="AB7" s="13"/>
      <c r="AC7" s="17">
        <v>2.43</v>
      </c>
      <c r="AD7" s="12"/>
      <c r="AE7" s="13"/>
      <c r="AF7" s="13"/>
      <c r="AG7" s="17">
        <v>0</v>
      </c>
      <c r="AH7" s="15"/>
      <c r="AI7" s="13"/>
      <c r="AJ7" s="13"/>
      <c r="AK7" s="13"/>
      <c r="AL7" s="28">
        <v>0</v>
      </c>
      <c r="AM7" s="12"/>
      <c r="AN7" s="13"/>
      <c r="AO7" s="13"/>
      <c r="AP7" s="28"/>
      <c r="AQ7" s="14"/>
    </row>
    <row r="8" spans="1:43" ht="11.25" customHeight="1">
      <c r="A8" s="82"/>
      <c r="B8" s="12"/>
      <c r="C8" s="13"/>
      <c r="D8" s="13"/>
      <c r="E8" s="14"/>
      <c r="F8" s="12"/>
      <c r="G8" s="13"/>
      <c r="H8" s="13"/>
      <c r="I8" s="14"/>
      <c r="J8" s="12"/>
      <c r="K8" s="13"/>
      <c r="L8" s="13"/>
      <c r="M8" s="14"/>
      <c r="N8" s="12"/>
      <c r="O8" s="13"/>
      <c r="P8" s="13"/>
      <c r="Q8" s="14"/>
      <c r="R8" s="12"/>
      <c r="S8" s="13"/>
      <c r="T8" s="13"/>
      <c r="U8" s="14"/>
      <c r="V8" s="12"/>
      <c r="W8" s="13"/>
      <c r="X8" s="13"/>
      <c r="Y8" s="14"/>
      <c r="Z8" s="12"/>
      <c r="AA8" s="13"/>
      <c r="AB8" s="13"/>
      <c r="AC8" s="14"/>
      <c r="AD8" s="12"/>
      <c r="AE8" s="13"/>
      <c r="AF8" s="13"/>
      <c r="AG8" s="14"/>
      <c r="AH8" s="12"/>
      <c r="AI8" s="13"/>
      <c r="AJ8" s="13"/>
      <c r="AK8" s="13"/>
      <c r="AL8" s="13"/>
      <c r="AM8" s="12"/>
      <c r="AN8" s="13"/>
      <c r="AO8" s="13"/>
      <c r="AP8" s="13"/>
      <c r="AQ8" s="14" t="s">
        <v>73</v>
      </c>
    </row>
    <row r="9" spans="1:43" ht="15">
      <c r="A9" s="84"/>
      <c r="B9" s="12" t="s">
        <v>26</v>
      </c>
      <c r="C9" s="13" t="s">
        <v>29</v>
      </c>
      <c r="D9" s="13" t="s">
        <v>97</v>
      </c>
      <c r="E9" s="14" t="s">
        <v>30</v>
      </c>
      <c r="F9" s="12" t="s">
        <v>26</v>
      </c>
      <c r="G9" s="13" t="s">
        <v>29</v>
      </c>
      <c r="H9" s="13" t="s">
        <v>97</v>
      </c>
      <c r="I9" s="14" t="s">
        <v>30</v>
      </c>
      <c r="J9" s="12" t="s">
        <v>26</v>
      </c>
      <c r="K9" s="13" t="s">
        <v>29</v>
      </c>
      <c r="L9" s="13" t="s">
        <v>97</v>
      </c>
      <c r="M9" s="14" t="s">
        <v>30</v>
      </c>
      <c r="N9" s="12" t="s">
        <v>26</v>
      </c>
      <c r="O9" s="13" t="s">
        <v>29</v>
      </c>
      <c r="P9" s="13" t="s">
        <v>218</v>
      </c>
      <c r="Q9" s="14" t="s">
        <v>30</v>
      </c>
      <c r="R9" s="12" t="s">
        <v>26</v>
      </c>
      <c r="S9" s="13" t="s">
        <v>29</v>
      </c>
      <c r="T9" s="13" t="s">
        <v>218</v>
      </c>
      <c r="U9" s="14" t="s">
        <v>30</v>
      </c>
      <c r="V9" s="12" t="s">
        <v>26</v>
      </c>
      <c r="W9" s="13" t="s">
        <v>29</v>
      </c>
      <c r="X9" s="13" t="s">
        <v>218</v>
      </c>
      <c r="Y9" s="14" t="s">
        <v>30</v>
      </c>
      <c r="Z9" s="12" t="s">
        <v>26</v>
      </c>
      <c r="AA9" s="13" t="s">
        <v>29</v>
      </c>
      <c r="AB9" s="13" t="s">
        <v>218</v>
      </c>
      <c r="AC9" s="14" t="s">
        <v>30</v>
      </c>
      <c r="AD9" s="12" t="s">
        <v>26</v>
      </c>
      <c r="AE9" s="13" t="s">
        <v>29</v>
      </c>
      <c r="AF9" s="13" t="s">
        <v>218</v>
      </c>
      <c r="AG9" s="14" t="s">
        <v>30</v>
      </c>
      <c r="AH9" s="12" t="s">
        <v>26</v>
      </c>
      <c r="AI9" s="13" t="s">
        <v>29</v>
      </c>
      <c r="AJ9" s="13" t="s">
        <v>25</v>
      </c>
      <c r="AK9" s="13" t="s">
        <v>39</v>
      </c>
      <c r="AL9" s="13" t="s">
        <v>30</v>
      </c>
      <c r="AM9" s="12" t="s">
        <v>26</v>
      </c>
      <c r="AN9" s="13" t="s">
        <v>29</v>
      </c>
      <c r="AO9" s="13" t="s">
        <v>97</v>
      </c>
      <c r="AP9" s="13" t="s">
        <v>30</v>
      </c>
      <c r="AQ9" s="14" t="s">
        <v>74</v>
      </c>
    </row>
    <row r="10" spans="2:43" ht="9" customHeight="1">
      <c r="B10" s="12"/>
      <c r="C10" s="13"/>
      <c r="D10" s="13"/>
      <c r="E10" s="14"/>
      <c r="F10" s="12"/>
      <c r="G10" s="13"/>
      <c r="H10" s="13"/>
      <c r="I10" s="14"/>
      <c r="J10" s="12"/>
      <c r="K10" s="13"/>
      <c r="L10" s="13"/>
      <c r="M10" s="14"/>
      <c r="N10" s="12"/>
      <c r="O10" s="13"/>
      <c r="P10" s="13"/>
      <c r="Q10" s="14"/>
      <c r="R10" s="12"/>
      <c r="S10" s="13"/>
      <c r="T10" s="13"/>
      <c r="U10" s="14"/>
      <c r="V10" s="12"/>
      <c r="W10" s="13"/>
      <c r="X10" s="13"/>
      <c r="Y10" s="14"/>
      <c r="Z10" s="12"/>
      <c r="AA10" s="13"/>
      <c r="AB10" s="13"/>
      <c r="AC10" s="14"/>
      <c r="AD10" s="12"/>
      <c r="AE10" s="13"/>
      <c r="AF10" s="13"/>
      <c r="AG10" s="14"/>
      <c r="AH10" s="12"/>
      <c r="AI10" s="13"/>
      <c r="AJ10" s="13"/>
      <c r="AK10" s="13"/>
      <c r="AL10" s="13"/>
      <c r="AM10" s="12"/>
      <c r="AN10" s="13"/>
      <c r="AO10" s="13"/>
      <c r="AP10" s="13"/>
      <c r="AQ10" s="14"/>
    </row>
    <row r="11" spans="1:43" ht="15">
      <c r="A11" t="s">
        <v>4</v>
      </c>
      <c r="B11" s="12">
        <f>'Customer Usage database'!C12</f>
        <v>351</v>
      </c>
      <c r="C11" s="18">
        <f>'Customer Usage database'!C28*B11</f>
        <v>392730.77298161516</v>
      </c>
      <c r="D11" s="18">
        <f>'Customer Usage database'!C76*B11</f>
        <v>778.1506752376544</v>
      </c>
      <c r="E11" s="19">
        <f>B11*$E$4+($E$5*MIN(200,C11/B11)+$E$6*MAX(0,C11/B11-200))/100*B11</f>
        <v>13812.03740330137</v>
      </c>
      <c r="F11" s="12">
        <f>'Customer Usage database'!D12</f>
        <v>31</v>
      </c>
      <c r="G11" s="18">
        <f>'Customer Usage database'!D28*F11</f>
        <v>33354.44673753061</v>
      </c>
      <c r="H11" s="18">
        <f>'Customer Usage database'!D76*F11</f>
        <v>69.95615344770052</v>
      </c>
      <c r="I11" s="19">
        <f>F11*$I$4+($I$5*MIN(200,G11/F11)+$I$6*MAX(0,G11/F11-200))/100*F11</f>
        <v>1179.9820319404732</v>
      </c>
      <c r="J11" s="12">
        <f>'Customer Usage database'!E12</f>
        <v>18</v>
      </c>
      <c r="K11" s="18">
        <f>'Customer Usage database'!E28*J11</f>
        <v>369331.4394059488</v>
      </c>
      <c r="L11" s="18">
        <f>'Customer Usage database'!E76*J11</f>
        <v>1049.8170021050405</v>
      </c>
      <c r="M11" s="19">
        <f>J11*$M$4+(MIN(K11/J11,200*L11/J11)*$M$5+MAX(0,K11/J11-200*L11/J11)*$M$6)/100*J11+L11*$M$7</f>
        <v>5729.901197489311</v>
      </c>
      <c r="N11" s="12">
        <f>'Customer Usage database'!F12</f>
        <v>1</v>
      </c>
      <c r="O11" s="18">
        <f>'Customer Usage database'!F28*N11</f>
        <v>1694616.7703630836</v>
      </c>
      <c r="P11" s="18">
        <f>'Customer Usage database'!F76*N11</f>
        <v>3461.2685960367126</v>
      </c>
      <c r="Q11" s="19">
        <f>N11*$Q$4+(MIN(O11/N11,200*P11/N11)*$Q$5+MAX(0,O11/N11-200*P11/N11)*$Q$6)/100*N11+P11*$Q$7</f>
        <v>11633.323751279391</v>
      </c>
      <c r="R11" s="12">
        <f>'Customer Usage database'!G12</f>
        <v>9</v>
      </c>
      <c r="S11" s="18">
        <f>'Customer Usage database'!G28*R11</f>
        <v>90614.81204202496</v>
      </c>
      <c r="T11" s="18">
        <f>'Customer Usage database'!G76*R11</f>
        <v>326.19830664535516</v>
      </c>
      <c r="U11" s="19">
        <f>R11*$U$4+(MIN(S11/R11,200*T11/R11)*$U$5+MAX(0,S11/R11-200*T11/R11)*$U$6)/100*R11+T11*$U$7</f>
        <v>1465.935190064226</v>
      </c>
      <c r="V11" s="12">
        <f>'Customer Usage database'!H12</f>
        <v>1</v>
      </c>
      <c r="W11" s="18">
        <f>'Customer Usage database'!H28*V11</f>
        <v>215331.39590230703</v>
      </c>
      <c r="X11" s="18">
        <f>'Customer Usage database'!H76*V11</f>
        <v>641.1628510942518</v>
      </c>
      <c r="Y11" s="19">
        <f>V11*$Y$4+(MIN(W11/V11,200*X11/V11,)*$Y$5+MAX(0,W11/V11,-200*X11/V11,)*$Y$6)/100*V11+X11*$Y$7</f>
        <v>2241.505327425504</v>
      </c>
      <c r="Z11" s="12">
        <f>'Customer Usage database'!I12</f>
        <v>1</v>
      </c>
      <c r="AA11" s="18">
        <f>'Customer Usage database'!I28*Z11</f>
        <v>4450554.3692896925</v>
      </c>
      <c r="AB11" s="18">
        <f>'Customer Usage database'!I76*Z11</f>
        <v>10151.17294946053</v>
      </c>
      <c r="AC11" s="19">
        <f>Z11*$AC$4+(MIN(AA11/Z11,200*AB11/Z11)*$AC$5+MAX(0,AA11/Z11-200*AB11/Z11)*$AC$6)/100*Z11+AB11*$AC$7</f>
        <v>24667.35026718909</v>
      </c>
      <c r="AD11" s="12">
        <f>'Customer Usage database'!J12</f>
        <v>0</v>
      </c>
      <c r="AE11" s="18">
        <f>'Customer Usage database'!J28*AD11</f>
        <v>0</v>
      </c>
      <c r="AF11" s="18">
        <f>'Customer Usage database'!J76*AD11</f>
        <v>0</v>
      </c>
      <c r="AG11" s="19">
        <f>IF(AD11=0,0,AD11*$AG$4+(MIN(AE11/AD11,200*AF11/AD11)*$AG$5+MAX(0,AE11/AD11-200*AF11/AD11)*$AG$6)/100*AD11+AF11*$AG$7)</f>
        <v>0</v>
      </c>
      <c r="AH11" s="12">
        <f>'Customer Usage database'!K12</f>
        <v>17</v>
      </c>
      <c r="AI11" s="18">
        <f>'Customer Usage database'!K28*AH11</f>
        <v>18143.476010309096</v>
      </c>
      <c r="AJ11" s="18">
        <f>'Customer Usage database'!K76*AH11</f>
        <v>39.13346277436293</v>
      </c>
      <c r="AK11" s="18">
        <f>$AK$23</f>
        <v>527.6283392735064</v>
      </c>
      <c r="AL11" s="43">
        <f>AK11*$AL$4</f>
        <v>6452.894589314984</v>
      </c>
      <c r="AM11" s="12">
        <f>B11+F11+J11+N11+R11+V11+Z11+AD11+AH11</f>
        <v>429</v>
      </c>
      <c r="AN11" s="18">
        <f>C11+G11+K11+O11+S11+W11+AA11+AI11</f>
        <v>7264677.482732512</v>
      </c>
      <c r="AO11" s="18">
        <f>D11+H11+L11+P11+T11+X11+AB11+AF11+AK11</f>
        <v>17005.35487330075</v>
      </c>
      <c r="AP11" s="43">
        <f>E11+I11+M11+Q11+U11+Y11+AC11+AG11+AL11</f>
        <v>67182.92975800435</v>
      </c>
      <c r="AQ11" s="23">
        <f>AP11/AN11*100</f>
        <v>0.9247888831636664</v>
      </c>
    </row>
    <row r="12" spans="1:43" ht="15">
      <c r="A12" t="s">
        <v>5</v>
      </c>
      <c r="B12" s="12">
        <f>'Customer Usage database'!C13</f>
        <v>570</v>
      </c>
      <c r="C12" s="18">
        <f>'Customer Usage database'!C29*B12</f>
        <v>553282.6663604551</v>
      </c>
      <c r="D12" s="18">
        <f>'Customer Usage database'!C77*B12</f>
        <v>1292.8657024007227</v>
      </c>
      <c r="E12" s="19">
        <f aca="true" t="shared" si="0" ref="E12:E22">B12*$E$4+($E$5*MIN(200,C12/B12)+$E$6*MAX(0,C12/B12-200))/100*B12</f>
        <v>20276.275165528</v>
      </c>
      <c r="F12" s="12">
        <f>'Customer Usage database'!D13</f>
        <v>48</v>
      </c>
      <c r="G12" s="18">
        <f>'Customer Usage database'!D29*F12</f>
        <v>47430.80982333463</v>
      </c>
      <c r="H12" s="18">
        <f>'Customer Usage database'!D77*F12</f>
        <v>114.91296232604533</v>
      </c>
      <c r="I12" s="19">
        <f aca="true" t="shared" si="1" ref="I12:I22">F12*$I$4+($I$5*MIN(200,G12/F12)+$I$6*MAX(0,G12/F12-200))/100*F12</f>
        <v>1727.515728027164</v>
      </c>
      <c r="J12" s="12">
        <f>'Customer Usage database'!E13</f>
        <v>23</v>
      </c>
      <c r="K12" s="18">
        <f>'Customer Usage database'!E29*J12</f>
        <v>444767.0703887164</v>
      </c>
      <c r="L12" s="18">
        <f>'Customer Usage database'!E77*J12</f>
        <v>1312.531370247381</v>
      </c>
      <c r="M12" s="19">
        <f aca="true" t="shared" si="2" ref="M12:M22">J12*$M$4+(MIN(K12/J12,200*L12/J12)*$M$5+MAX(0,K12/J12-200*L12/J12)*$M$6)/100*J12+L12*$M$7</f>
        <v>7163.796218810206</v>
      </c>
      <c r="N12" s="12">
        <f>'Customer Usage database'!F13</f>
        <v>1</v>
      </c>
      <c r="O12" s="18">
        <f>'Customer Usage database'!F29*N12</f>
        <v>1594582.9463509652</v>
      </c>
      <c r="P12" s="18">
        <f>'Customer Usage database'!F77*N12</f>
        <v>3533.8308266417166</v>
      </c>
      <c r="Q12" s="19">
        <f aca="true" t="shared" si="3" ref="Q12:Q22">N12*$Q$4+(MIN(O12/N12,200*P12/N12)*$Q$5+MAX(0,O12/N12-200*P12/N12)*$Q$6)/100*N12+P12*$Q$7</f>
        <v>11877.20540834281</v>
      </c>
      <c r="R12" s="12">
        <f>'Customer Usage database'!G13</f>
        <v>10</v>
      </c>
      <c r="S12" s="18">
        <f>'Customer Usage database'!G29*R12</f>
        <v>96523.89644586919</v>
      </c>
      <c r="T12" s="18">
        <f>'Customer Usage database'!G77*R12</f>
        <v>351.7716904152251</v>
      </c>
      <c r="U12" s="19">
        <f aca="true" t="shared" si="4" ref="U12:U22">R12*$U$4+(MIN(S12/R12,200*T12/R12)*$U$5+MAX(0,S12/R12-200*T12/R12)*$U$6)/100*R12+T12*$U$7</f>
        <v>1580.8619767260216</v>
      </c>
      <c r="V12" s="12">
        <f>'Customer Usage database'!H13</f>
        <v>1</v>
      </c>
      <c r="W12" s="18">
        <f>'Customer Usage database'!H29*V12</f>
        <v>194294.75124773334</v>
      </c>
      <c r="X12" s="18">
        <f>'Customer Usage database'!H77*V12</f>
        <v>586.4092583925229</v>
      </c>
      <c r="Y12" s="19">
        <f aca="true" t="shared" si="5" ref="Y12:Y22">V12*$Y$4+(MIN(W12/V12,200*X12/V12,)*$Y$5+MAX(0,W12/V12,-200*X12/V12,)*$Y$6)/100*V12+X12*$Y$7</f>
        <v>2050.08676734026</v>
      </c>
      <c r="Z12" s="12">
        <f>'Customer Usage database'!I13</f>
        <v>1</v>
      </c>
      <c r="AA12" s="18">
        <f>'Customer Usage database'!I29*Z12</f>
        <v>4074387.6311654053</v>
      </c>
      <c r="AB12" s="18">
        <f>'Customer Usage database'!I77*Z12</f>
        <v>10354.368613006467</v>
      </c>
      <c r="AC12" s="19">
        <f aca="true" t="shared" si="6" ref="AC12:AC22">Z12*$AC$4+(MIN(AA12/Z12,200*AB12/Z12)*$AC$5+MAX(0,AA12/Z12-200*AB12/Z12)*$AC$6)/100*Z12+AB12*$AC$7</f>
        <v>25161.115729605717</v>
      </c>
      <c r="AD12" s="12">
        <f>'Customer Usage database'!J13</f>
        <v>0</v>
      </c>
      <c r="AE12" s="18">
        <f>'Customer Usage database'!J29*AD12</f>
        <v>0</v>
      </c>
      <c r="AF12" s="18">
        <f>'Customer Usage database'!J77*AD12</f>
        <v>0</v>
      </c>
      <c r="AG12" s="19">
        <f aca="true" t="shared" si="7" ref="AG12:AG22">IF(AD12=0,0,AD12*$AG$4+(MIN(AE12/AD12,200*AF12/AD12)*$AG$5+MAX(0,AE12/AD12-200*AF12/AD12)*$AG$6)/100*AD12+AF12*$AG$7)</f>
        <v>0</v>
      </c>
      <c r="AH12" s="12">
        <f>'Customer Usage database'!K13</f>
        <v>24</v>
      </c>
      <c r="AI12" s="18">
        <f>'Customer Usage database'!K29*AH12</f>
        <v>21707.70297262884</v>
      </c>
      <c r="AJ12" s="18">
        <f>'Customer Usage database'!K77*AH12</f>
        <v>55.2203776690194</v>
      </c>
      <c r="AK12" s="18">
        <f aca="true" t="shared" si="8" ref="AK12:AK22">$AK$23</f>
        <v>527.6283392735064</v>
      </c>
      <c r="AL12" s="43">
        <f aca="true" t="shared" si="9" ref="AL12:AL22">AK12*$AL$4</f>
        <v>6452.894589314984</v>
      </c>
      <c r="AM12" s="12">
        <f aca="true" t="shared" si="10" ref="AM12:AM22">B12+F12+J12+N12+R12+V12+Z12+AD12+AH12</f>
        <v>678</v>
      </c>
      <c r="AN12" s="18">
        <f aca="true" t="shared" si="11" ref="AN12:AN22">C12+G12+K12+O12+S12+W12+AA12+AI12</f>
        <v>7026977.474755107</v>
      </c>
      <c r="AO12" s="18">
        <f aca="true" t="shared" si="12" ref="AO12:AO22">D12+H12+L12+P12+T12+X12+AB12+AF12+AK12</f>
        <v>18074.318762703588</v>
      </c>
      <c r="AP12" s="43">
        <f aca="true" t="shared" si="13" ref="AP12:AP22">E12+I12+M12+Q12+U12+Y12+AC12+AG12+AL12</f>
        <v>76289.75158369516</v>
      </c>
      <c r="AQ12" s="23">
        <f aca="true" t="shared" si="14" ref="AQ12:AQ23">AP12/AN12*100</f>
        <v>1.085669505242777</v>
      </c>
    </row>
    <row r="13" spans="1:43" ht="15">
      <c r="A13" t="s">
        <v>6</v>
      </c>
      <c r="B13" s="12">
        <f>'Customer Usage database'!C14</f>
        <v>810</v>
      </c>
      <c r="C13" s="18">
        <f>'Customer Usage database'!C30*B13</f>
        <v>787190.3369082442</v>
      </c>
      <c r="D13" s="18">
        <f>'Customer Usage database'!C78*B13</f>
        <v>1572.68823634582</v>
      </c>
      <c r="E13" s="19">
        <f t="shared" si="0"/>
        <v>28837.781687791146</v>
      </c>
      <c r="F13" s="12">
        <f>'Customer Usage database'!D14</f>
        <v>80</v>
      </c>
      <c r="G13" s="18">
        <f>'Customer Usage database'!D30*F13</f>
        <v>75707.55847933832</v>
      </c>
      <c r="H13" s="18">
        <f>'Customer Usage database'!D78*F13</f>
        <v>167.57910949923456</v>
      </c>
      <c r="I13" s="19">
        <f t="shared" si="1"/>
        <v>2800.2125312819708</v>
      </c>
      <c r="J13" s="12">
        <f>'Customer Usage database'!E14</f>
        <v>36</v>
      </c>
      <c r="K13" s="18">
        <f>'Customer Usage database'!E30*J13</f>
        <v>717597.7444509087</v>
      </c>
      <c r="L13" s="18">
        <f>'Customer Usage database'!E78*J13</f>
        <v>1841.0498649230792</v>
      </c>
      <c r="M13" s="19">
        <f t="shared" si="2"/>
        <v>10048.450162750167</v>
      </c>
      <c r="N13" s="12">
        <f>'Customer Usage database'!F14</f>
        <v>1</v>
      </c>
      <c r="O13" s="18">
        <f>'Customer Usage database'!F30*N13</f>
        <v>1662281.5163261387</v>
      </c>
      <c r="P13" s="18">
        <f>'Customer Usage database'!F78*N13</f>
        <v>3500.133138796836</v>
      </c>
      <c r="Q13" s="19">
        <f t="shared" si="3"/>
        <v>11763.947479496168</v>
      </c>
      <c r="R13" s="12">
        <f>'Customer Usage database'!G14</f>
        <v>10</v>
      </c>
      <c r="S13" s="18">
        <f>'Customer Usage database'!G30*R13</f>
        <v>96810.54379038594</v>
      </c>
      <c r="T13" s="18">
        <f>'Customer Usage database'!G78*R13</f>
        <v>311.2707428435057</v>
      </c>
      <c r="U13" s="19">
        <f t="shared" si="4"/>
        <v>1398.8507183387144</v>
      </c>
      <c r="V13" s="12">
        <f>'Customer Usage database'!H14</f>
        <v>2</v>
      </c>
      <c r="W13" s="18">
        <f>'Customer Usage database'!H30*V13</f>
        <v>414691.47910392925</v>
      </c>
      <c r="X13" s="18">
        <f>'Customer Usage database'!H78*V13</f>
        <v>1098.4409549746451</v>
      </c>
      <c r="Y13" s="19">
        <f t="shared" si="5"/>
        <v>3840.1495785913594</v>
      </c>
      <c r="Z13" s="12">
        <f>'Customer Usage database'!I14</f>
        <v>1</v>
      </c>
      <c r="AA13" s="18">
        <f>'Customer Usage database'!I30*Z13</f>
        <v>4282104.908195619</v>
      </c>
      <c r="AB13" s="18">
        <f>'Customer Usage database'!I78*Z13</f>
        <v>9527.89554934086</v>
      </c>
      <c r="AC13" s="19">
        <f t="shared" si="6"/>
        <v>23152.78618489829</v>
      </c>
      <c r="AD13" s="12">
        <f>'Customer Usage database'!J14</f>
        <v>0</v>
      </c>
      <c r="AE13" s="18">
        <f>'Customer Usage database'!J30*AD13</f>
        <v>0</v>
      </c>
      <c r="AF13" s="18">
        <f>'Customer Usage database'!J78*AD13</f>
        <v>0</v>
      </c>
      <c r="AG13" s="19">
        <f t="shared" si="7"/>
        <v>0</v>
      </c>
      <c r="AH13" s="12">
        <f>'Customer Usage database'!K14</f>
        <v>29</v>
      </c>
      <c r="AI13" s="18">
        <f>'Customer Usage database'!K30*AH13</f>
        <v>25945.60216684888</v>
      </c>
      <c r="AJ13" s="18">
        <f>'Customer Usage database'!K78*AH13</f>
        <v>66.76200181983201</v>
      </c>
      <c r="AK13" s="18">
        <f t="shared" si="8"/>
        <v>527.6283392735064</v>
      </c>
      <c r="AL13" s="43">
        <f t="shared" si="9"/>
        <v>6452.894589314984</v>
      </c>
      <c r="AM13" s="12">
        <f t="shared" si="10"/>
        <v>969</v>
      </c>
      <c r="AN13" s="18">
        <f t="shared" si="11"/>
        <v>8062329.689421413</v>
      </c>
      <c r="AO13" s="18">
        <f t="shared" si="12"/>
        <v>18546.685935997484</v>
      </c>
      <c r="AP13" s="43">
        <f t="shared" si="13"/>
        <v>88295.07293246279</v>
      </c>
      <c r="AQ13" s="23">
        <f t="shared" si="14"/>
        <v>1.0951558213789596</v>
      </c>
    </row>
    <row r="14" spans="1:43" ht="15">
      <c r="A14" t="s">
        <v>7</v>
      </c>
      <c r="B14" s="12">
        <f>'Customer Usage database'!C15</f>
        <v>1002</v>
      </c>
      <c r="C14" s="18">
        <f>'Customer Usage database'!C31*B14</f>
        <v>778591.8684168799</v>
      </c>
      <c r="D14" s="18">
        <f>'Customer Usage database'!C79*B14</f>
        <v>1726.7097751741296</v>
      </c>
      <c r="E14" s="19">
        <f t="shared" si="0"/>
        <v>30697.96672594627</v>
      </c>
      <c r="F14" s="12">
        <f>'Customer Usage database'!D15</f>
        <v>92</v>
      </c>
      <c r="G14" s="18">
        <f>'Customer Usage database'!D31*F14</f>
        <v>73840.64276354613</v>
      </c>
      <c r="H14" s="18">
        <f>'Customer Usage database'!D79*F14</f>
        <v>169.45941579960518</v>
      </c>
      <c r="I14" s="19">
        <f t="shared" si="1"/>
        <v>2907.9159820749596</v>
      </c>
      <c r="J14" s="12">
        <f>'Customer Usage database'!E15</f>
        <v>49</v>
      </c>
      <c r="K14" s="18">
        <f>'Customer Usage database'!E31*J14</f>
        <v>847948.0768993164</v>
      </c>
      <c r="L14" s="18">
        <f>'Customer Usage database'!E79*J14</f>
        <v>2246.398181811239</v>
      </c>
      <c r="M14" s="19">
        <f t="shared" si="2"/>
        <v>12260.841276325742</v>
      </c>
      <c r="N14" s="12">
        <f>'Customer Usage database'!F15</f>
        <v>1</v>
      </c>
      <c r="O14" s="18">
        <f>'Customer Usage database'!F31*N14</f>
        <v>1525841.5368086929</v>
      </c>
      <c r="P14" s="18">
        <f>'Customer Usage database'!F79*N14</f>
        <v>3322.0991262750867</v>
      </c>
      <c r="Q14" s="19">
        <f t="shared" si="3"/>
        <v>11165.575163410567</v>
      </c>
      <c r="R14" s="12">
        <f>'Customer Usage database'!G15</f>
        <v>11</v>
      </c>
      <c r="S14" s="18">
        <f>'Customer Usage database'!G31*R14</f>
        <v>101597.51650013571</v>
      </c>
      <c r="T14" s="18">
        <f>'Customer Usage database'!G79*R14</f>
        <v>352.8261067102607</v>
      </c>
      <c r="U14" s="19">
        <f t="shared" si="4"/>
        <v>1585.6005235559116</v>
      </c>
      <c r="V14" s="12">
        <f>'Customer Usage database'!H15</f>
        <v>2</v>
      </c>
      <c r="W14" s="18">
        <f>'Customer Usage database'!H31*V14</f>
        <v>413254.50602385565</v>
      </c>
      <c r="X14" s="18">
        <f>'Customer Usage database'!H79*V14</f>
        <v>1150.0510634976308</v>
      </c>
      <c r="Y14" s="19">
        <f t="shared" si="5"/>
        <v>4020.5785179877175</v>
      </c>
      <c r="Z14" s="12">
        <f>'Customer Usage database'!I15</f>
        <v>1</v>
      </c>
      <c r="AA14" s="18">
        <f>'Customer Usage database'!I31*Z14</f>
        <v>4284239.4835496135</v>
      </c>
      <c r="AB14" s="18">
        <f>'Customer Usage database'!I79*Z14</f>
        <v>10167.559866675496</v>
      </c>
      <c r="AC14" s="19">
        <f t="shared" si="6"/>
        <v>24707.170476021456</v>
      </c>
      <c r="AD14" s="12">
        <f>'Customer Usage database'!J15</f>
        <v>0</v>
      </c>
      <c r="AE14" s="18">
        <f>'Customer Usage database'!J31*AD14</f>
        <v>0</v>
      </c>
      <c r="AF14" s="18">
        <f>'Customer Usage database'!J79*AD14</f>
        <v>0</v>
      </c>
      <c r="AG14" s="19">
        <f t="shared" si="7"/>
        <v>0</v>
      </c>
      <c r="AH14" s="12">
        <f>'Customer Usage database'!K15</f>
        <v>41</v>
      </c>
      <c r="AI14" s="18">
        <f>'Customer Usage database'!K31*AH14</f>
        <v>32893.836640364374</v>
      </c>
      <c r="AJ14" s="18">
        <f>'Customer Usage database'!K79*AH14</f>
        <v>94.38870075634628</v>
      </c>
      <c r="AK14" s="18">
        <f t="shared" si="8"/>
        <v>527.6283392735064</v>
      </c>
      <c r="AL14" s="43">
        <f t="shared" si="9"/>
        <v>6452.894589314984</v>
      </c>
      <c r="AM14" s="12">
        <f t="shared" si="10"/>
        <v>1199</v>
      </c>
      <c r="AN14" s="18">
        <f t="shared" si="11"/>
        <v>8058207.467602405</v>
      </c>
      <c r="AO14" s="18">
        <f t="shared" si="12"/>
        <v>19662.731875216952</v>
      </c>
      <c r="AP14" s="43">
        <f t="shared" si="13"/>
        <v>93798.54325463761</v>
      </c>
      <c r="AQ14" s="23">
        <f t="shared" si="14"/>
        <v>1.1640125131023205</v>
      </c>
    </row>
    <row r="15" spans="1:43" ht="15">
      <c r="A15" t="s">
        <v>8</v>
      </c>
      <c r="B15" s="12">
        <f>'Customer Usage database'!C16</f>
        <v>1191</v>
      </c>
      <c r="C15" s="18">
        <f>'Customer Usage database'!C32*B15</f>
        <v>830809.8103142233</v>
      </c>
      <c r="D15" s="18">
        <f>'Customer Usage database'!C80*B15</f>
        <v>1754.4464033058453</v>
      </c>
      <c r="E15" s="19">
        <f t="shared" si="0"/>
        <v>34075.872064909556</v>
      </c>
      <c r="F15" s="12">
        <f>'Customer Usage database'!D16</f>
        <v>99</v>
      </c>
      <c r="G15" s="18">
        <f>'Customer Usage database'!D32*F15</f>
        <v>72810.14201862468</v>
      </c>
      <c r="H15" s="18">
        <f>'Customer Usage database'!D80*F15</f>
        <v>163.09991918030613</v>
      </c>
      <c r="I15" s="19">
        <f t="shared" si="1"/>
        <v>2972.125554479915</v>
      </c>
      <c r="J15" s="12">
        <f>'Customer Usage database'!E16</f>
        <v>57</v>
      </c>
      <c r="K15" s="18">
        <f>'Customer Usage database'!E32*J15</f>
        <v>936314.5771760651</v>
      </c>
      <c r="L15" s="18">
        <f>'Customer Usage database'!E80*J15</f>
        <v>2460.081634750227</v>
      </c>
      <c r="M15" s="19">
        <f t="shared" si="2"/>
        <v>13427.12556246674</v>
      </c>
      <c r="N15" s="12">
        <f>'Customer Usage database'!F16</f>
        <v>1</v>
      </c>
      <c r="O15" s="18">
        <f>'Customer Usage database'!F32*N15</f>
        <v>1597393.9420136907</v>
      </c>
      <c r="P15" s="18">
        <f>'Customer Usage database'!F80*N15</f>
        <v>3561.51993157832</v>
      </c>
      <c r="Q15" s="19">
        <f t="shared" si="3"/>
        <v>11970.268490034736</v>
      </c>
      <c r="R15" s="12">
        <f>'Customer Usage database'!G16</f>
        <v>13</v>
      </c>
      <c r="S15" s="18">
        <f>'Customer Usage database'!G32*R15</f>
        <v>121016.30670982107</v>
      </c>
      <c r="T15" s="18">
        <f>'Customer Usage database'!G80*R15</f>
        <v>439.73905882343706</v>
      </c>
      <c r="U15" s="19">
        <f t="shared" si="4"/>
        <v>1976.187330352526</v>
      </c>
      <c r="V15" s="12">
        <f>'Customer Usage database'!H16</f>
        <v>2</v>
      </c>
      <c r="W15" s="18">
        <f>'Customer Usage database'!H32*V15</f>
        <v>408340.9696577505</v>
      </c>
      <c r="X15" s="18">
        <f>'Customer Usage database'!H80*V15</f>
        <v>1172.441680910416</v>
      </c>
      <c r="Y15" s="19">
        <f t="shared" si="5"/>
        <v>4098.8561164628145</v>
      </c>
      <c r="Z15" s="12">
        <f>'Customer Usage database'!I16</f>
        <v>1</v>
      </c>
      <c r="AA15" s="18">
        <f>'Customer Usage database'!I32*Z15</f>
        <v>4595659.856178817</v>
      </c>
      <c r="AB15" s="18">
        <f>'Customer Usage database'!I80*Z15</f>
        <v>9457.410012403183</v>
      </c>
      <c r="AC15" s="19">
        <f t="shared" si="6"/>
        <v>22981.506330139735</v>
      </c>
      <c r="AD15" s="12">
        <f>'Customer Usage database'!J16</f>
        <v>0</v>
      </c>
      <c r="AE15" s="18">
        <f>'Customer Usage database'!J32*AD15</f>
        <v>0</v>
      </c>
      <c r="AF15" s="18">
        <f>'Customer Usage database'!J80*AD15</f>
        <v>0</v>
      </c>
      <c r="AG15" s="19">
        <f t="shared" si="7"/>
        <v>0</v>
      </c>
      <c r="AH15" s="12">
        <f>'Customer Usage database'!K16</f>
        <v>47</v>
      </c>
      <c r="AI15" s="18">
        <f>'Customer Usage database'!K32*AH15</f>
        <v>34382.9733248851</v>
      </c>
      <c r="AJ15" s="18">
        <f>'Customer Usage database'!K80*AH15</f>
        <v>108.19849296328299</v>
      </c>
      <c r="AK15" s="18">
        <f t="shared" si="8"/>
        <v>527.6283392735064</v>
      </c>
      <c r="AL15" s="43">
        <f t="shared" si="9"/>
        <v>6452.894589314984</v>
      </c>
      <c r="AM15" s="12">
        <f t="shared" si="10"/>
        <v>1411</v>
      </c>
      <c r="AN15" s="18">
        <f t="shared" si="11"/>
        <v>8596728.577393878</v>
      </c>
      <c r="AO15" s="18">
        <f t="shared" si="12"/>
        <v>19536.36698022524</v>
      </c>
      <c r="AP15" s="43">
        <f t="shared" si="13"/>
        <v>97954.836038161</v>
      </c>
      <c r="AQ15" s="23">
        <f t="shared" si="14"/>
        <v>1.139443163248691</v>
      </c>
    </row>
    <row r="16" spans="1:43" ht="15">
      <c r="A16" t="s">
        <v>9</v>
      </c>
      <c r="B16" s="12">
        <f>'Customer Usage database'!C17</f>
        <v>1380</v>
      </c>
      <c r="C16" s="18">
        <f>'Customer Usage database'!C33*B16</f>
        <v>788235.180691279</v>
      </c>
      <c r="D16" s="18">
        <f>'Customer Usage database'!C81*B16</f>
        <v>2010.0689501221016</v>
      </c>
      <c r="E16" s="19">
        <f t="shared" si="0"/>
        <v>35037.5147558207</v>
      </c>
      <c r="F16" s="12">
        <f>'Customer Usage database'!D17</f>
        <v>113</v>
      </c>
      <c r="G16" s="18">
        <f>'Customer Usage database'!D33*F16</f>
        <v>79140.64854467854</v>
      </c>
      <c r="H16" s="18">
        <f>'Customer Usage database'!D81*F16</f>
        <v>188.55765153289087</v>
      </c>
      <c r="I16" s="19">
        <f t="shared" si="1"/>
        <v>3298.752118625307</v>
      </c>
      <c r="J16" s="12">
        <f>'Customer Usage database'!E17</f>
        <v>60</v>
      </c>
      <c r="K16" s="18">
        <f>'Customer Usage database'!E33*J16</f>
        <v>998132.829593567</v>
      </c>
      <c r="L16" s="18">
        <f>'Customer Usage database'!E81*J16</f>
        <v>2782.0271449744414</v>
      </c>
      <c r="M16" s="19">
        <f t="shared" si="2"/>
        <v>15184.304157270502</v>
      </c>
      <c r="N16" s="12">
        <f>'Customer Usage database'!F17</f>
        <v>1</v>
      </c>
      <c r="O16" s="18">
        <f>'Customer Usage database'!F33*N16</f>
        <v>1587303.3935721014</v>
      </c>
      <c r="P16" s="18">
        <f>'Customer Usage database'!F81*N16</f>
        <v>3657.014703353241</v>
      </c>
      <c r="Q16" s="19">
        <f t="shared" si="3"/>
        <v>12291.226417970245</v>
      </c>
      <c r="R16" s="12">
        <f>'Customer Usage database'!G17</f>
        <v>13</v>
      </c>
      <c r="S16" s="18">
        <f>'Customer Usage database'!G33*R16</f>
        <v>126333.06405305168</v>
      </c>
      <c r="T16" s="18">
        <f>'Customer Usage database'!G81*R16</f>
        <v>475.2439603733236</v>
      </c>
      <c r="U16" s="19">
        <f t="shared" si="4"/>
        <v>2135.746357917716</v>
      </c>
      <c r="V16" s="12">
        <f>'Customer Usage database'!H17</f>
        <v>2</v>
      </c>
      <c r="W16" s="18">
        <f>'Customer Usage database'!H33*V16</f>
        <v>427488.58701600635</v>
      </c>
      <c r="X16" s="18">
        <f>'Customer Usage database'!H81*V16</f>
        <v>1217.9503610118893</v>
      </c>
      <c r="Y16" s="19">
        <f t="shared" si="5"/>
        <v>4257.954462097565</v>
      </c>
      <c r="Z16" s="12">
        <f>'Customer Usage database'!I17</f>
        <v>1</v>
      </c>
      <c r="AA16" s="18">
        <f>'Customer Usage database'!I33*Z16</f>
        <v>4427328.744365387</v>
      </c>
      <c r="AB16" s="18">
        <f>'Customer Usage database'!I81*Z16</f>
        <v>10396.025628736224</v>
      </c>
      <c r="AC16" s="19">
        <f t="shared" si="6"/>
        <v>25262.342277829026</v>
      </c>
      <c r="AD16" s="12">
        <f>'Customer Usage database'!J17</f>
        <v>0</v>
      </c>
      <c r="AE16" s="18">
        <f>'Customer Usage database'!J33*AD16</f>
        <v>0</v>
      </c>
      <c r="AF16" s="18">
        <f>'Customer Usage database'!J81*AD16</f>
        <v>0</v>
      </c>
      <c r="AG16" s="19">
        <f t="shared" si="7"/>
        <v>0</v>
      </c>
      <c r="AH16" s="12">
        <f>'Customer Usage database'!K17</f>
        <v>59</v>
      </c>
      <c r="AI16" s="18">
        <f>'Customer Usage database'!K33*AH16</f>
        <v>38426.16277163157</v>
      </c>
      <c r="AJ16" s="18">
        <f>'Customer Usage database'!K81*AH16</f>
        <v>135.82464071508724</v>
      </c>
      <c r="AK16" s="18">
        <f t="shared" si="8"/>
        <v>527.6283392735064</v>
      </c>
      <c r="AL16" s="43">
        <f t="shared" si="9"/>
        <v>6452.894589314984</v>
      </c>
      <c r="AM16" s="12">
        <f t="shared" si="10"/>
        <v>1629</v>
      </c>
      <c r="AN16" s="18">
        <f t="shared" si="11"/>
        <v>8472388.610607702</v>
      </c>
      <c r="AO16" s="18">
        <f t="shared" si="12"/>
        <v>21254.51673937762</v>
      </c>
      <c r="AP16" s="43">
        <f t="shared" si="13"/>
        <v>103920.73513684604</v>
      </c>
      <c r="AQ16" s="23">
        <f t="shared" si="14"/>
        <v>1.2265813091568292</v>
      </c>
    </row>
    <row r="17" spans="1:43" ht="15">
      <c r="A17" t="s">
        <v>10</v>
      </c>
      <c r="B17" s="12">
        <f>'Customer Usage database'!C18</f>
        <v>1650</v>
      </c>
      <c r="C17" s="18">
        <f>'Customer Usage database'!C34*B17</f>
        <v>947299.0643179353</v>
      </c>
      <c r="D17" s="18">
        <f>'Customer Usage database'!C82*B17</f>
        <v>2095.754598259526</v>
      </c>
      <c r="E17" s="19">
        <f t="shared" si="0"/>
        <v>42016.15314946417</v>
      </c>
      <c r="F17" s="12">
        <f>'Customer Usage database'!D18</f>
        <v>119</v>
      </c>
      <c r="G17" s="18">
        <f>'Customer Usage database'!D34*F17</f>
        <v>85890.7522296117</v>
      </c>
      <c r="H17" s="18">
        <f>'Customer Usage database'!D82*F17</f>
        <v>191.49184127820524</v>
      </c>
      <c r="I17" s="19">
        <f t="shared" si="1"/>
        <v>3534.089567663428</v>
      </c>
      <c r="J17" s="12">
        <f>'Customer Usage database'!E18</f>
        <v>69</v>
      </c>
      <c r="K17" s="18">
        <f>'Customer Usage database'!E34*J17</f>
        <v>1237511.2836163528</v>
      </c>
      <c r="L17" s="18">
        <f>'Customer Usage database'!E82*J17</f>
        <v>3290.912681256056</v>
      </c>
      <c r="M17" s="19">
        <f t="shared" si="2"/>
        <v>17961.801414295554</v>
      </c>
      <c r="N17" s="12">
        <f>'Customer Usage database'!F18</f>
        <v>1</v>
      </c>
      <c r="O17" s="18">
        <f>'Customer Usage database'!F34*N17</f>
        <v>1841757.8001497153</v>
      </c>
      <c r="P17" s="18">
        <f>'Customer Usage database'!F82*N17</f>
        <v>3906.5694126251633</v>
      </c>
      <c r="Q17" s="19">
        <f t="shared" si="3"/>
        <v>13129.979795833175</v>
      </c>
      <c r="R17" s="12">
        <f>'Customer Usage database'!G18</f>
        <v>17</v>
      </c>
      <c r="S17" s="18">
        <f>'Customer Usage database'!G34*R17</f>
        <v>167933.643903586</v>
      </c>
      <c r="T17" s="18">
        <f>'Customer Usage database'!G82*R17</f>
        <v>630.6263803638884</v>
      </c>
      <c r="U17" s="19">
        <f t="shared" si="4"/>
        <v>2834.0349533553144</v>
      </c>
      <c r="V17" s="12">
        <f>'Customer Usage database'!H18</f>
        <v>2</v>
      </c>
      <c r="W17" s="18">
        <f>'Customer Usage database'!H34*V17</f>
        <v>427095.76191835065</v>
      </c>
      <c r="X17" s="18">
        <f>'Customer Usage database'!H82*V17</f>
        <v>1245.1091558487965</v>
      </c>
      <c r="Y17" s="19">
        <f t="shared" si="5"/>
        <v>4352.901608847393</v>
      </c>
      <c r="Z17" s="12">
        <f>'Customer Usage database'!I18</f>
        <v>1</v>
      </c>
      <c r="AA17" s="18">
        <f>'Customer Usage database'!I34*Z17</f>
        <v>4822681.866472571</v>
      </c>
      <c r="AB17" s="18">
        <f>'Customer Usage database'!I82*Z17</f>
        <v>10598.158600381863</v>
      </c>
      <c r="AC17" s="19">
        <f t="shared" si="6"/>
        <v>25753.52539892793</v>
      </c>
      <c r="AD17" s="12">
        <f>'Customer Usage database'!J18</f>
        <v>0</v>
      </c>
      <c r="AE17" s="18">
        <f>'Customer Usage database'!J34*AD17</f>
        <v>0</v>
      </c>
      <c r="AF17" s="18">
        <f>'Customer Usage database'!J82*AD17</f>
        <v>0</v>
      </c>
      <c r="AG17" s="19">
        <f t="shared" si="7"/>
        <v>0</v>
      </c>
      <c r="AH17" s="12">
        <f>'Customer Usage database'!K18</f>
        <v>67</v>
      </c>
      <c r="AI17" s="18">
        <f>'Customer Usage database'!K34*AH17</f>
        <v>45474.377672319286</v>
      </c>
      <c r="AJ17" s="18">
        <f>'Customer Usage database'!K82*AH17</f>
        <v>154.2307464104808</v>
      </c>
      <c r="AK17" s="18">
        <f t="shared" si="8"/>
        <v>527.6283392735064</v>
      </c>
      <c r="AL17" s="43">
        <f t="shared" si="9"/>
        <v>6452.894589314984</v>
      </c>
      <c r="AM17" s="12">
        <f t="shared" si="10"/>
        <v>1926</v>
      </c>
      <c r="AN17" s="18">
        <f t="shared" si="11"/>
        <v>9575644.55028044</v>
      </c>
      <c r="AO17" s="18">
        <f t="shared" si="12"/>
        <v>22486.251009287007</v>
      </c>
      <c r="AP17" s="43">
        <f t="shared" si="13"/>
        <v>116035.38047770192</v>
      </c>
      <c r="AQ17" s="23">
        <f t="shared" si="14"/>
        <v>1.2117761876854922</v>
      </c>
    </row>
    <row r="18" spans="1:43" ht="15">
      <c r="A18" t="s">
        <v>11</v>
      </c>
      <c r="B18" s="12">
        <f>'Customer Usage database'!C19</f>
        <v>1839</v>
      </c>
      <c r="C18" s="18">
        <f>'Customer Usage database'!C35*B18</f>
        <v>1034024.5985820626</v>
      </c>
      <c r="D18" s="18">
        <f>'Customer Usage database'!C83*B18</f>
        <v>2349.268537196918</v>
      </c>
      <c r="E18" s="19">
        <f t="shared" si="0"/>
        <v>46273.65701785677</v>
      </c>
      <c r="F18" s="12">
        <f>'Customer Usage database'!D19</f>
        <v>132</v>
      </c>
      <c r="G18" s="18">
        <f>'Customer Usage database'!D35*F18</f>
        <v>95910.91215205412</v>
      </c>
      <c r="H18" s="18">
        <f>'Customer Usage database'!D83*F18</f>
        <v>225.76255180686525</v>
      </c>
      <c r="I18" s="19">
        <f t="shared" si="1"/>
        <v>3935.215745031519</v>
      </c>
      <c r="J18" s="12">
        <f>'Customer Usage database'!E19</f>
        <v>72</v>
      </c>
      <c r="K18" s="18">
        <f>'Customer Usage database'!E35*J18</f>
        <v>1254560.7953137045</v>
      </c>
      <c r="L18" s="18">
        <f>'Customer Usage database'!E83*J18</f>
        <v>3633.7914097164607</v>
      </c>
      <c r="M18" s="19">
        <f t="shared" si="2"/>
        <v>19833.233514232445</v>
      </c>
      <c r="N18" s="12">
        <f>'Customer Usage database'!F19</f>
        <v>1</v>
      </c>
      <c r="O18" s="18">
        <f>'Customer Usage database'!F35*N18</f>
        <v>1861861.7233154532</v>
      </c>
      <c r="P18" s="18">
        <f>'Customer Usage database'!F83*N18</f>
        <v>4199.044670871265</v>
      </c>
      <c r="Q18" s="19">
        <f t="shared" si="3"/>
        <v>14112.989138798323</v>
      </c>
      <c r="R18" s="12">
        <f>'Customer Usage database'!G19</f>
        <v>19</v>
      </c>
      <c r="S18" s="18">
        <f>'Customer Usage database'!G35*R18</f>
        <v>187337.7383896528</v>
      </c>
      <c r="T18" s="18">
        <f>'Customer Usage database'!G83*R18</f>
        <v>735.1834146117076</v>
      </c>
      <c r="U18" s="19">
        <f t="shared" si="4"/>
        <v>3303.9142652650135</v>
      </c>
      <c r="V18" s="12">
        <f>'Customer Usage database'!H19</f>
        <v>2</v>
      </c>
      <c r="W18" s="18">
        <f>'Customer Usage database'!H35*V18</f>
        <v>427557.24452926003</v>
      </c>
      <c r="X18" s="18">
        <f>'Customer Usage database'!H83*V18</f>
        <v>1220.9742470306833</v>
      </c>
      <c r="Y18" s="19">
        <f t="shared" si="5"/>
        <v>4268.525967619269</v>
      </c>
      <c r="Z18" s="12">
        <f>'Customer Usage database'!I19</f>
        <v>1</v>
      </c>
      <c r="AA18" s="18">
        <f>'Customer Usage database'!I35*Z18</f>
        <v>5172288.114948245</v>
      </c>
      <c r="AB18" s="18">
        <f>'Customer Usage database'!I83*Z18</f>
        <v>10947.275859742333</v>
      </c>
      <c r="AC18" s="19">
        <f t="shared" si="6"/>
        <v>26601.88033917387</v>
      </c>
      <c r="AD18" s="12">
        <f>'Customer Usage database'!J19</f>
        <v>0</v>
      </c>
      <c r="AE18" s="18">
        <f>'Customer Usage database'!J35*AD18</f>
        <v>0</v>
      </c>
      <c r="AF18" s="18">
        <f>'Customer Usage database'!J83*AD18</f>
        <v>0</v>
      </c>
      <c r="AG18" s="19">
        <f t="shared" si="7"/>
        <v>0</v>
      </c>
      <c r="AH18" s="12">
        <f>'Customer Usage database'!K19</f>
        <v>78</v>
      </c>
      <c r="AI18" s="18">
        <f>'Customer Usage database'!K35*AH18</f>
        <v>57493.77907934534</v>
      </c>
      <c r="AJ18" s="18">
        <f>'Customer Usage database'!K83*AH18</f>
        <v>179.56544067210635</v>
      </c>
      <c r="AK18" s="18">
        <f t="shared" si="8"/>
        <v>527.6283392735064</v>
      </c>
      <c r="AL18" s="43">
        <f t="shared" si="9"/>
        <v>6452.894589314984</v>
      </c>
      <c r="AM18" s="12">
        <f t="shared" si="10"/>
        <v>2144</v>
      </c>
      <c r="AN18" s="18">
        <f t="shared" si="11"/>
        <v>10091034.906309778</v>
      </c>
      <c r="AO18" s="18">
        <f t="shared" si="12"/>
        <v>23838.92903024974</v>
      </c>
      <c r="AP18" s="43">
        <f t="shared" si="13"/>
        <v>124782.31057729218</v>
      </c>
      <c r="AQ18" s="23">
        <f t="shared" si="14"/>
        <v>1.2365660384275117</v>
      </c>
    </row>
    <row r="19" spans="1:43" ht="15">
      <c r="A19" t="s">
        <v>12</v>
      </c>
      <c r="B19" s="12">
        <f>'Customer Usage database'!C20</f>
        <v>2103</v>
      </c>
      <c r="C19" s="18">
        <f>'Customer Usage database'!C36*B19</f>
        <v>1184411.603615748</v>
      </c>
      <c r="D19" s="18">
        <f>'Customer Usage database'!C84*B19</f>
        <v>2543.2633731865753</v>
      </c>
      <c r="E19" s="19">
        <f t="shared" si="0"/>
        <v>52966.141776165416</v>
      </c>
      <c r="F19" s="12">
        <f>'Customer Usage database'!D20</f>
        <v>149</v>
      </c>
      <c r="G19" s="18">
        <f>'Customer Usage database'!D36*F19</f>
        <v>98019.49706874388</v>
      </c>
      <c r="H19" s="18">
        <f>'Customer Usage database'!D84*F19</f>
        <v>234.0845692329332</v>
      </c>
      <c r="I19" s="19">
        <f t="shared" si="1"/>
        <v>4200.070520763731</v>
      </c>
      <c r="J19" s="12">
        <f>'Customer Usage database'!E20</f>
        <v>77</v>
      </c>
      <c r="K19" s="18">
        <f>'Customer Usage database'!E36*J19</f>
        <v>1242369.5246237426</v>
      </c>
      <c r="L19" s="18">
        <f>'Customer Usage database'!E84*J19</f>
        <v>4000.9490398157272</v>
      </c>
      <c r="M19" s="19">
        <f t="shared" si="2"/>
        <v>21837.17985931424</v>
      </c>
      <c r="N19" s="12">
        <f>'Customer Usage database'!F20</f>
        <v>1</v>
      </c>
      <c r="O19" s="18">
        <f>'Customer Usage database'!F36*N19</f>
        <v>1737077.7885040068</v>
      </c>
      <c r="P19" s="18">
        <f>'Customer Usage database'!F84*N19</f>
        <v>4269.759881141887</v>
      </c>
      <c r="Q19" s="19">
        <f t="shared" si="3"/>
        <v>14350.662960517882</v>
      </c>
      <c r="R19" s="12">
        <f>'Customer Usage database'!G20</f>
        <v>19</v>
      </c>
      <c r="S19" s="18">
        <f>'Customer Usage database'!G36*R19</f>
        <v>175113.14860482153</v>
      </c>
      <c r="T19" s="18">
        <f>'Customer Usage database'!G84*R19</f>
        <v>702.2085620999037</v>
      </c>
      <c r="U19" s="19">
        <f t="shared" si="4"/>
        <v>3155.7252780769672</v>
      </c>
      <c r="V19" s="12">
        <f>'Customer Usage database'!H20</f>
        <v>2</v>
      </c>
      <c r="W19" s="18">
        <f>'Customer Usage database'!H36*V19</f>
        <v>416442.74795709574</v>
      </c>
      <c r="X19" s="18">
        <f>'Customer Usage database'!H84*V19</f>
        <v>1262.2863471865185</v>
      </c>
      <c r="Y19" s="19">
        <f t="shared" si="5"/>
        <v>4412.9530697640685</v>
      </c>
      <c r="Z19" s="12">
        <f>'Customer Usage database'!I20</f>
        <v>1</v>
      </c>
      <c r="AA19" s="18">
        <f>'Customer Usage database'!I36*Z19</f>
        <v>4881329.762421957</v>
      </c>
      <c r="AB19" s="18">
        <f>'Customer Usage database'!I84*Z19</f>
        <v>11580.251416295177</v>
      </c>
      <c r="AC19" s="19">
        <f t="shared" si="6"/>
        <v>28140.010941597284</v>
      </c>
      <c r="AD19" s="12">
        <f>'Customer Usage database'!J20</f>
        <v>1</v>
      </c>
      <c r="AE19" s="18">
        <f>'Customer Usage database'!J36*AD19</f>
        <v>5360871.598282292</v>
      </c>
      <c r="AF19" s="18">
        <f>'Customer Usage database'!J84*AD19</f>
        <v>12457.237208752456</v>
      </c>
      <c r="AG19" s="19">
        <f t="shared" si="7"/>
        <v>0</v>
      </c>
      <c r="AH19" s="12">
        <f>'Customer Usage database'!K20</f>
        <v>89</v>
      </c>
      <c r="AI19" s="18">
        <f>'Customer Usage database'!K36*AH19</f>
        <v>70951.30731341406</v>
      </c>
      <c r="AJ19" s="18">
        <f>'Customer Usage database'!K84*AH19</f>
        <v>204.89631903958596</v>
      </c>
      <c r="AK19" s="18">
        <f t="shared" si="8"/>
        <v>527.6283392735064</v>
      </c>
      <c r="AL19" s="43">
        <f t="shared" si="9"/>
        <v>6452.894589314984</v>
      </c>
      <c r="AM19" s="12">
        <f t="shared" si="10"/>
        <v>2442</v>
      </c>
      <c r="AN19" s="18">
        <f t="shared" si="11"/>
        <v>9805715.380109528</v>
      </c>
      <c r="AO19" s="18">
        <f t="shared" si="12"/>
        <v>37577.668736984684</v>
      </c>
      <c r="AP19" s="43">
        <f t="shared" si="13"/>
        <v>135515.63899551457</v>
      </c>
      <c r="AQ19" s="23">
        <f t="shared" si="14"/>
        <v>1.3820066536950706</v>
      </c>
    </row>
    <row r="20" spans="1:43" ht="15">
      <c r="A20" t="s">
        <v>13</v>
      </c>
      <c r="B20" s="12">
        <f>'Customer Usage database'!C21</f>
        <v>2412</v>
      </c>
      <c r="C20" s="18">
        <f>'Customer Usage database'!C37*B20</f>
        <v>1565031.7726972539</v>
      </c>
      <c r="D20" s="18">
        <f>'Customer Usage database'!C85*B20</f>
        <v>3516.9993250698453</v>
      </c>
      <c r="E20" s="19">
        <f t="shared" si="0"/>
        <v>66014.619886053</v>
      </c>
      <c r="F20" s="12">
        <f>'Customer Usage database'!D21</f>
        <v>164</v>
      </c>
      <c r="G20" s="18">
        <f>'Customer Usage database'!D37*F20</f>
        <v>120328.14458394777</v>
      </c>
      <c r="H20" s="18">
        <f>'Customer Usage database'!D85*F20</f>
        <v>263.9655180357252</v>
      </c>
      <c r="I20" s="19">
        <f t="shared" si="1"/>
        <v>4916.750775072846</v>
      </c>
      <c r="J20" s="12">
        <f>'Customer Usage database'!E21</f>
        <v>79</v>
      </c>
      <c r="K20" s="18">
        <f>'Customer Usage database'!E37*J20</f>
        <v>1326908.2840959127</v>
      </c>
      <c r="L20" s="18">
        <f>'Customer Usage database'!E85*J20</f>
        <v>3864.5538005178837</v>
      </c>
      <c r="M20" s="19">
        <f t="shared" si="2"/>
        <v>21092.73464322661</v>
      </c>
      <c r="N20" s="12">
        <f>'Customer Usage database'!F21</f>
        <v>1</v>
      </c>
      <c r="O20" s="18">
        <f>'Customer Usage database'!F37*N20</f>
        <v>1690117.1206304282</v>
      </c>
      <c r="P20" s="18">
        <f>'Customer Usage database'!F85*N20</f>
        <v>4061.6925301386977</v>
      </c>
      <c r="Q20" s="19">
        <f t="shared" si="3"/>
        <v>13651.348593796163</v>
      </c>
      <c r="R20" s="12">
        <f>'Customer Usage database'!G21</f>
        <v>19</v>
      </c>
      <c r="S20" s="18">
        <f>'Customer Usage database'!G37*R20</f>
        <v>161279.97021879035</v>
      </c>
      <c r="T20" s="18">
        <f>'Customer Usage database'!G85*R20</f>
        <v>655.28950849615</v>
      </c>
      <c r="U20" s="19">
        <f t="shared" si="4"/>
        <v>2944.871051181698</v>
      </c>
      <c r="V20" s="12">
        <f>'Customer Usage database'!H21</f>
        <v>3</v>
      </c>
      <c r="W20" s="18">
        <f>'Customer Usage database'!H37*V20</f>
        <v>629857.9785717049</v>
      </c>
      <c r="X20" s="18">
        <f>'Customer Usage database'!H85*V20</f>
        <v>1782.1773821273516</v>
      </c>
      <c r="Y20" s="19">
        <f t="shared" si="5"/>
        <v>6230.492127917221</v>
      </c>
      <c r="Z20" s="12">
        <f>'Customer Usage database'!I21</f>
        <v>1</v>
      </c>
      <c r="AA20" s="18">
        <f>'Customer Usage database'!I37*Z20</f>
        <v>4758928.257481431</v>
      </c>
      <c r="AB20" s="18">
        <f>'Customer Usage database'!I85*Z20</f>
        <v>9971.888291203279</v>
      </c>
      <c r="AC20" s="19">
        <f t="shared" si="6"/>
        <v>24231.68854762397</v>
      </c>
      <c r="AD20" s="12">
        <f>'Customer Usage database'!J21</f>
        <v>1</v>
      </c>
      <c r="AE20" s="18">
        <f>'Customer Usage database'!J37*AD20</f>
        <v>5226445.369496407</v>
      </c>
      <c r="AF20" s="18">
        <f>'Customer Usage database'!J85*AD20</f>
        <v>10727.07088966142</v>
      </c>
      <c r="AG20" s="19">
        <f t="shared" si="7"/>
        <v>0</v>
      </c>
      <c r="AH20" s="12">
        <f>'Customer Usage database'!K21</f>
        <v>92</v>
      </c>
      <c r="AI20" s="18">
        <f>'Customer Usage database'!K37*AH20</f>
        <v>79005.5486955429</v>
      </c>
      <c r="AJ20" s="18">
        <f>'Customer Usage database'!K85*AH20</f>
        <v>211.81775916411792</v>
      </c>
      <c r="AK20" s="18">
        <f t="shared" si="8"/>
        <v>527.6283392735064</v>
      </c>
      <c r="AL20" s="43">
        <f t="shared" si="9"/>
        <v>6452.894589314984</v>
      </c>
      <c r="AM20" s="12">
        <f t="shared" si="10"/>
        <v>2772</v>
      </c>
      <c r="AN20" s="18">
        <f t="shared" si="11"/>
        <v>10331457.076975012</v>
      </c>
      <c r="AO20" s="18">
        <f t="shared" si="12"/>
        <v>35371.26558452386</v>
      </c>
      <c r="AP20" s="43">
        <f t="shared" si="13"/>
        <v>145535.40021418652</v>
      </c>
      <c r="AQ20" s="23">
        <f t="shared" si="14"/>
        <v>1.4086628742670864</v>
      </c>
    </row>
    <row r="21" spans="1:43" ht="15">
      <c r="A21" t="s">
        <v>14</v>
      </c>
      <c r="B21" s="12">
        <f>'Customer Usage database'!C22</f>
        <v>2631</v>
      </c>
      <c r="C21" s="18">
        <f>'Customer Usage database'!C38*B21</f>
        <v>1999167.519746393</v>
      </c>
      <c r="D21" s="18">
        <f>'Customer Usage database'!C86*B21</f>
        <v>4468.39979243049</v>
      </c>
      <c r="E21" s="19">
        <f t="shared" si="0"/>
        <v>79452.51007833556</v>
      </c>
      <c r="F21" s="12">
        <f>'Customer Usage database'!D22</f>
        <v>170</v>
      </c>
      <c r="G21" s="18">
        <f>'Customer Usage database'!D38*F21</f>
        <v>130567.35214721305</v>
      </c>
      <c r="H21" s="18">
        <f>'Customer Usage database'!D86*F21</f>
        <v>319.5118778592995</v>
      </c>
      <c r="I21" s="19">
        <f t="shared" si="1"/>
        <v>5234.500857717173</v>
      </c>
      <c r="J21" s="12">
        <f>'Customer Usage database'!E22</f>
        <v>82</v>
      </c>
      <c r="K21" s="18">
        <f>'Customer Usage database'!E38*J21</f>
        <v>1432716.1369837713</v>
      </c>
      <c r="L21" s="18">
        <f>'Customer Usage database'!E86*J21</f>
        <v>3921.4597790048983</v>
      </c>
      <c r="M21" s="19">
        <f t="shared" si="2"/>
        <v>21403.327473808735</v>
      </c>
      <c r="N21" s="12">
        <f>'Customer Usage database'!F22</f>
        <v>1</v>
      </c>
      <c r="O21" s="18">
        <f>'Customer Usage database'!F38*N21</f>
        <v>1579504.2400005148</v>
      </c>
      <c r="P21" s="18">
        <f>'Customer Usage database'!F86*N21</f>
        <v>3501.8926425262</v>
      </c>
      <c r="Q21" s="19">
        <f t="shared" si="3"/>
        <v>11769.861171530558</v>
      </c>
      <c r="R21" s="12">
        <f>'Customer Usage database'!G22</f>
        <v>20</v>
      </c>
      <c r="S21" s="18">
        <f>'Customer Usage database'!G38*R21</f>
        <v>186203.65788482522</v>
      </c>
      <c r="T21" s="18">
        <f>'Customer Usage database'!G86*R21</f>
        <v>698.4616335652731</v>
      </c>
      <c r="U21" s="19">
        <f t="shared" si="4"/>
        <v>3138.8865812423373</v>
      </c>
      <c r="V21" s="12">
        <f>'Customer Usage database'!H22</f>
        <v>3</v>
      </c>
      <c r="W21" s="18">
        <f>'Customer Usage database'!H38*V21</f>
        <v>616839.2795915201</v>
      </c>
      <c r="X21" s="18">
        <f>'Customer Usage database'!H86*V21</f>
        <v>1780.6723073859584</v>
      </c>
      <c r="Y21" s="19">
        <f t="shared" si="5"/>
        <v>6225.230386621311</v>
      </c>
      <c r="Z21" s="12">
        <f>'Customer Usage database'!I22</f>
        <v>1</v>
      </c>
      <c r="AA21" s="18">
        <f>'Customer Usage database'!I38*Z21</f>
        <v>4684406.607269142</v>
      </c>
      <c r="AB21" s="18">
        <f>'Customer Usage database'!I86*Z21</f>
        <v>10372.453238588036</v>
      </c>
      <c r="AC21" s="19">
        <f t="shared" si="6"/>
        <v>25205.06136976893</v>
      </c>
      <c r="AD21" s="12">
        <f>'Customer Usage database'!J22</f>
        <v>1</v>
      </c>
      <c r="AE21" s="18">
        <f>'Customer Usage database'!J38*AD21</f>
        <v>5144602.712367264</v>
      </c>
      <c r="AF21" s="18">
        <f>'Customer Usage database'!J86*AD21</f>
        <v>11157.97108238623</v>
      </c>
      <c r="AG21" s="19">
        <f t="shared" si="7"/>
        <v>0</v>
      </c>
      <c r="AH21" s="12">
        <f>'Customer Usage database'!K22</f>
        <v>97</v>
      </c>
      <c r="AI21" s="18">
        <f>'Customer Usage database'!K38*AH21</f>
        <v>97313.03693949901</v>
      </c>
      <c r="AJ21" s="18">
        <f>'Customer Usage database'!K86*AH21</f>
        <v>223.32877136411565</v>
      </c>
      <c r="AK21" s="18">
        <f t="shared" si="8"/>
        <v>527.6283392735064</v>
      </c>
      <c r="AL21" s="43">
        <f t="shared" si="9"/>
        <v>6452.894589314984</v>
      </c>
      <c r="AM21" s="12">
        <f t="shared" si="10"/>
        <v>3006</v>
      </c>
      <c r="AN21" s="18">
        <f t="shared" si="11"/>
        <v>10726717.83056288</v>
      </c>
      <c r="AO21" s="18">
        <f t="shared" si="12"/>
        <v>36748.4506930199</v>
      </c>
      <c r="AP21" s="43">
        <f t="shared" si="13"/>
        <v>158882.27250833958</v>
      </c>
      <c r="AQ21" s="23">
        <f t="shared" si="14"/>
        <v>1.4811825482688425</v>
      </c>
    </row>
    <row r="22" spans="1:43" ht="17.25">
      <c r="A22" t="s">
        <v>15</v>
      </c>
      <c r="B22" s="12">
        <f>'Customer Usage database'!C23</f>
        <v>2967</v>
      </c>
      <c r="C22" s="20">
        <f>'Customer Usage database'!C39*B22</f>
        <v>3000355.7072015475</v>
      </c>
      <c r="D22" s="20">
        <f>'Customer Usage database'!C87*B22</f>
        <v>6271.297278968626</v>
      </c>
      <c r="E22" s="21">
        <f t="shared" si="0"/>
        <v>108611.67697656745</v>
      </c>
      <c r="F22" s="12">
        <f>'Customer Usage database'!D23</f>
        <v>183</v>
      </c>
      <c r="G22" s="20">
        <f>'Customer Usage database'!D39*F22</f>
        <v>175547.19802248554</v>
      </c>
      <c r="H22" s="20">
        <f>'Customer Usage database'!D87*F22</f>
        <v>443.6428367339608</v>
      </c>
      <c r="I22" s="21">
        <f t="shared" si="1"/>
        <v>6461.374817291109</v>
      </c>
      <c r="J22" s="12">
        <f>'Customer Usage database'!E23</f>
        <v>80</v>
      </c>
      <c r="K22" s="20">
        <f>'Customer Usage database'!E39*J22</f>
        <v>1587447.5677786693</v>
      </c>
      <c r="L22" s="20">
        <f>'Customer Usage database'!E87*J22</f>
        <v>4318.7172720772805</v>
      </c>
      <c r="M22" s="21">
        <f t="shared" si="2"/>
        <v>23571.558870997796</v>
      </c>
      <c r="N22" s="12">
        <f>'Customer Usage database'!F23</f>
        <v>1</v>
      </c>
      <c r="O22" s="20">
        <f>'Customer Usage database'!F39*N22</f>
        <v>1609196.4761142035</v>
      </c>
      <c r="P22" s="20">
        <f>'Customer Usage database'!F87*N22</f>
        <v>3614.5554930388157</v>
      </c>
      <c r="Q22" s="21">
        <f t="shared" si="3"/>
        <v>12148.52101210346</v>
      </c>
      <c r="R22" s="12">
        <f>'Customer Usage database'!G23</f>
        <v>20</v>
      </c>
      <c r="S22" s="20">
        <f>'Customer Usage database'!G39*R22</f>
        <v>215937.2622156487</v>
      </c>
      <c r="T22" s="20">
        <f>'Customer Usage database'!G87*R22</f>
        <v>762.5555405086635</v>
      </c>
      <c r="U22" s="21">
        <f t="shared" si="4"/>
        <v>3426.9245990459335</v>
      </c>
      <c r="V22" s="12">
        <f>'Customer Usage database'!H23</f>
        <v>3</v>
      </c>
      <c r="W22" s="20">
        <f>'Customer Usage database'!H39*V22</f>
        <v>628361.1615945065</v>
      </c>
      <c r="X22" s="20">
        <f>'Customer Usage database'!H87*V22</f>
        <v>1979.3811824576323</v>
      </c>
      <c r="Y22" s="21">
        <f t="shared" si="5"/>
        <v>6919.916613871883</v>
      </c>
      <c r="Z22" s="12">
        <f>'Customer Usage database'!I23</f>
        <v>1</v>
      </c>
      <c r="AA22" s="20">
        <f>'Customer Usage database'!I39*Z22</f>
        <v>4019695.14536307</v>
      </c>
      <c r="AB22" s="20">
        <f>'Customer Usage database'!I87*Z22</f>
        <v>10852.215726448783</v>
      </c>
      <c r="AC22" s="21">
        <f t="shared" si="6"/>
        <v>26370.884215270544</v>
      </c>
      <c r="AD22" s="12">
        <f>'Customer Usage database'!J23</f>
        <v>1</v>
      </c>
      <c r="AE22" s="20">
        <f>'Customer Usage database'!J39*AD22</f>
        <v>4414589.996443539</v>
      </c>
      <c r="AF22" s="20">
        <f>'Customer Usage database'!J87*AD22</f>
        <v>11674.066536646635</v>
      </c>
      <c r="AG22" s="21">
        <f t="shared" si="7"/>
        <v>0</v>
      </c>
      <c r="AH22" s="12">
        <f>'Customer Usage database'!K23</f>
        <v>101</v>
      </c>
      <c r="AI22" s="20">
        <f>'Customer Usage database'!K39*AH22</f>
        <v>111416.2035414193</v>
      </c>
      <c r="AJ22" s="20">
        <f>'Customer Usage database'!K87*AH22</f>
        <v>232.55019562218374</v>
      </c>
      <c r="AK22" s="20">
        <f t="shared" si="8"/>
        <v>527.6283392735064</v>
      </c>
      <c r="AL22" s="44">
        <f t="shared" si="9"/>
        <v>6452.894589314984</v>
      </c>
      <c r="AM22" s="12">
        <f t="shared" si="10"/>
        <v>3357</v>
      </c>
      <c r="AN22" s="20">
        <f t="shared" si="11"/>
        <v>11347956.721831549</v>
      </c>
      <c r="AO22" s="20">
        <f t="shared" si="12"/>
        <v>40444.0602061539</v>
      </c>
      <c r="AP22" s="44">
        <f t="shared" si="13"/>
        <v>193963.75169446316</v>
      </c>
      <c r="AQ22" s="47">
        <f t="shared" si="14"/>
        <v>1.7092394379801406</v>
      </c>
    </row>
    <row r="23" spans="1:43" ht="15">
      <c r="A23" t="s">
        <v>24</v>
      </c>
      <c r="B23" s="12"/>
      <c r="C23" s="22">
        <f>SUM(C11:C22)</f>
        <v>13861130.901833637</v>
      </c>
      <c r="D23" s="22">
        <f>MAX(D11:D22)</f>
        <v>6271.297278968626</v>
      </c>
      <c r="E23" s="19">
        <f>SUM(E11:E22)</f>
        <v>558072.2066877395</v>
      </c>
      <c r="F23" s="12"/>
      <c r="G23" s="22">
        <f>SUM(G11:G22)</f>
        <v>1088548.104571109</v>
      </c>
      <c r="H23" s="22">
        <f>MAX(H11:H22)</f>
        <v>443.6428367339608</v>
      </c>
      <c r="I23" s="19">
        <f>SUM(I11:I22)</f>
        <v>43168.5062299696</v>
      </c>
      <c r="J23" s="12"/>
      <c r="K23" s="22">
        <f>SUM(K11:K22)</f>
        <v>12395605.330326676</v>
      </c>
      <c r="L23" s="22">
        <f>MAX(L11:L22)</f>
        <v>4318.7172720772805</v>
      </c>
      <c r="M23" s="19">
        <f>SUM(M11:M22)</f>
        <v>189514.25435098808</v>
      </c>
      <c r="N23" s="12"/>
      <c r="O23" s="22">
        <f>SUM(O11:O22)</f>
        <v>19981535.254148994</v>
      </c>
      <c r="P23" s="22">
        <f>MAX(P11:P22)</f>
        <v>4269.759881141887</v>
      </c>
      <c r="Q23" s="19">
        <f>SUM(Q11:Q22)</f>
        <v>149864.90938311347</v>
      </c>
      <c r="R23" s="12"/>
      <c r="S23" s="22">
        <f>SUM(S11:S22)</f>
        <v>1726701.5607586133</v>
      </c>
      <c r="T23" s="22">
        <f>MAX(T11:T22)</f>
        <v>762.5555405086635</v>
      </c>
      <c r="U23" s="19">
        <f>SUM(U11:U22)</f>
        <v>28947.53882512238</v>
      </c>
      <c r="V23" s="12"/>
      <c r="W23" s="22">
        <f>SUM(W11:W22)</f>
        <v>5219555.86311402</v>
      </c>
      <c r="X23" s="22">
        <f>MAX(X11:X22)</f>
        <v>1979.3811824576323</v>
      </c>
      <c r="Y23" s="19">
        <f>SUM(Y11:Y22)</f>
        <v>52919.15054454637</v>
      </c>
      <c r="Z23" s="12"/>
      <c r="AA23" s="22">
        <f>SUM(AA11:AA22)</f>
        <v>54453604.74670095</v>
      </c>
      <c r="AB23" s="22">
        <f>MAX(AB11:AB22)</f>
        <v>11580.251416295177</v>
      </c>
      <c r="AC23" s="19">
        <f>SUM(AC11:AC22)</f>
        <v>302235.32207804575</v>
      </c>
      <c r="AD23" s="12"/>
      <c r="AE23" s="22">
        <f>SUM(AE11:AE22)</f>
        <v>20146509.6765895</v>
      </c>
      <c r="AF23" s="22">
        <f>MAX(AF11:AF22)</f>
        <v>12457.237208752456</v>
      </c>
      <c r="AG23" s="19">
        <f>SUM(AG11:AG22)</f>
        <v>0</v>
      </c>
      <c r="AH23" s="12"/>
      <c r="AI23" s="22">
        <f>SUM(AI11:AI22)</f>
        <v>633154.0071282077</v>
      </c>
      <c r="AJ23" s="22">
        <f>MAX(AJ11:AJ22)</f>
        <v>232.55019562218374</v>
      </c>
      <c r="AK23" s="22">
        <f>AI23/(100*12)</f>
        <v>527.6283392735064</v>
      </c>
      <c r="AL23" s="43">
        <f>SUM(AL11:AL22)</f>
        <v>77434.73507177981</v>
      </c>
      <c r="AM23" s="12"/>
      <c r="AN23" s="22">
        <f>SUM(AN11:AN22)</f>
        <v>109359835.76858221</v>
      </c>
      <c r="AO23" s="22">
        <f>MAX(AO11:AO22)</f>
        <v>40444.0602061539</v>
      </c>
      <c r="AP23" s="43">
        <f>SUM(AP11:AP22)</f>
        <v>1402156.6231713048</v>
      </c>
      <c r="AQ23" s="23">
        <f t="shared" si="14"/>
        <v>1.2821495326112475</v>
      </c>
    </row>
    <row r="24" spans="2:43" ht="15">
      <c r="B24" s="12"/>
      <c r="C24" s="13"/>
      <c r="D24" s="13"/>
      <c r="E24" s="14"/>
      <c r="F24" s="12"/>
      <c r="G24" s="13"/>
      <c r="H24" s="13"/>
      <c r="I24" s="14"/>
      <c r="J24" s="12"/>
      <c r="K24" s="13"/>
      <c r="L24" s="13"/>
      <c r="M24" s="14"/>
      <c r="N24" s="12"/>
      <c r="O24" s="13"/>
      <c r="P24" s="13"/>
      <c r="Q24" s="14"/>
      <c r="R24" s="12"/>
      <c r="S24" s="13"/>
      <c r="T24" s="13"/>
      <c r="U24" s="14"/>
      <c r="V24" s="12"/>
      <c r="W24" s="13"/>
      <c r="X24" s="13"/>
      <c r="Y24" s="14"/>
      <c r="Z24" s="12"/>
      <c r="AA24" s="13"/>
      <c r="AB24" s="13"/>
      <c r="AC24" s="14"/>
      <c r="AD24" s="12"/>
      <c r="AE24" s="13"/>
      <c r="AF24" s="13"/>
      <c r="AG24" s="14"/>
      <c r="AH24" s="12"/>
      <c r="AI24" s="13"/>
      <c r="AJ24" s="13"/>
      <c r="AK24" s="13"/>
      <c r="AL24" s="13"/>
      <c r="AM24" s="12"/>
      <c r="AN24" s="13"/>
      <c r="AO24" s="13"/>
      <c r="AP24" s="13"/>
      <c r="AQ24" s="14"/>
    </row>
    <row r="25" spans="1:43" ht="15">
      <c r="A25" t="s">
        <v>31</v>
      </c>
      <c r="B25" s="12"/>
      <c r="C25" s="13"/>
      <c r="D25" s="13"/>
      <c r="E25" s="23">
        <f>E23/C23*100</f>
        <v>4.026166484106389</v>
      </c>
      <c r="F25" s="12"/>
      <c r="G25" s="13"/>
      <c r="H25" s="13"/>
      <c r="I25" s="23">
        <f>I23/G23*100</f>
        <v>3.9656957785047187</v>
      </c>
      <c r="J25" s="12"/>
      <c r="K25" s="13"/>
      <c r="L25" s="13"/>
      <c r="M25" s="23">
        <f>M23/K23*100</f>
        <v>1.5288826104145863</v>
      </c>
      <c r="N25" s="12"/>
      <c r="O25" s="13"/>
      <c r="P25" s="13"/>
      <c r="Q25" s="23">
        <f>Q23/O23*100</f>
        <v>0.7500169905713091</v>
      </c>
      <c r="R25" s="12"/>
      <c r="S25" s="13"/>
      <c r="T25" s="13"/>
      <c r="U25" s="23">
        <f>U23/S23*100</f>
        <v>1.6764645079954925</v>
      </c>
      <c r="V25" s="12"/>
      <c r="W25" s="13"/>
      <c r="X25" s="13"/>
      <c r="Y25" s="23">
        <f>Y23/W23*100</f>
        <v>1.013863093573147</v>
      </c>
      <c r="Z25" s="12"/>
      <c r="AA25" s="13"/>
      <c r="AB25" s="13"/>
      <c r="AC25" s="23">
        <f>AC23/AA23*100</f>
        <v>0.5550327172717736</v>
      </c>
      <c r="AD25" s="12"/>
      <c r="AE25" s="13"/>
      <c r="AF25" s="13"/>
      <c r="AG25" s="23">
        <f>AG23/AE23*100</f>
        <v>0</v>
      </c>
      <c r="AH25" s="12"/>
      <c r="AI25" s="13"/>
      <c r="AJ25" s="13"/>
      <c r="AK25" s="13"/>
      <c r="AL25" s="38">
        <f>AL23/AI23*100</f>
        <v>12.23</v>
      </c>
      <c r="AM25" s="12"/>
      <c r="AN25" s="13"/>
      <c r="AO25" s="13"/>
      <c r="AP25" s="38">
        <f>AP23/AN23*100</f>
        <v>1.2821495326112475</v>
      </c>
      <c r="AQ25" s="14"/>
    </row>
    <row r="26" spans="2:43" ht="15">
      <c r="B26" s="24"/>
      <c r="C26" s="25"/>
      <c r="D26" s="25"/>
      <c r="E26" s="26"/>
      <c r="F26" s="24"/>
      <c r="G26" s="25"/>
      <c r="H26" s="25"/>
      <c r="I26" s="26"/>
      <c r="J26" s="24"/>
      <c r="K26" s="25"/>
      <c r="L26" s="25"/>
      <c r="M26" s="26"/>
      <c r="N26" s="24"/>
      <c r="O26" s="25"/>
      <c r="P26" s="25"/>
      <c r="Q26" s="26"/>
      <c r="R26" s="24"/>
      <c r="S26" s="25"/>
      <c r="T26" s="25"/>
      <c r="U26" s="26"/>
      <c r="V26" s="24"/>
      <c r="W26" s="25"/>
      <c r="X26" s="25"/>
      <c r="Y26" s="26"/>
      <c r="Z26" s="24"/>
      <c r="AA26" s="25"/>
      <c r="AB26" s="25"/>
      <c r="AC26" s="26"/>
      <c r="AD26" s="24"/>
      <c r="AE26" s="25"/>
      <c r="AF26" s="25"/>
      <c r="AG26" s="26"/>
      <c r="AH26" s="24"/>
      <c r="AI26" s="25"/>
      <c r="AJ26" s="25"/>
      <c r="AK26" s="25"/>
      <c r="AL26" s="25"/>
      <c r="AM26" s="24"/>
      <c r="AN26" s="25"/>
      <c r="AO26" s="25"/>
      <c r="AP26" s="25"/>
      <c r="AQ26" s="26"/>
    </row>
    <row r="28" ht="15.75">
      <c r="A28" s="6" t="s">
        <v>184</v>
      </c>
    </row>
    <row r="29" ht="15">
      <c r="A29" t="s">
        <v>186</v>
      </c>
    </row>
  </sheetData>
  <sheetProtection/>
  <mergeCells count="10">
    <mergeCell ref="Z2:AC2"/>
    <mergeCell ref="AD2:AG2"/>
    <mergeCell ref="AH2:AL2"/>
    <mergeCell ref="AM2:AP2"/>
    <mergeCell ref="B2:E2"/>
    <mergeCell ref="F2:I2"/>
    <mergeCell ref="J2:M2"/>
    <mergeCell ref="N2:Q2"/>
    <mergeCell ref="R2:U2"/>
    <mergeCell ref="V2:Y2"/>
  </mergeCells>
  <conditionalFormatting sqref="A5:A6">
    <cfRule type="cellIs" priority="8" dxfId="18" operator="lessThan" stopIfTrue="1">
      <formula>0</formula>
    </cfRule>
  </conditionalFormatting>
  <conditionalFormatting sqref="A4">
    <cfRule type="cellIs" priority="9" dxfId="18" operator="lessThan" stopIfTrue="1">
      <formula>0</formula>
    </cfRule>
  </conditionalFormatting>
  <conditionalFormatting sqref="B7">
    <cfRule type="cellIs" priority="5" dxfId="18" operator="lessThan" stopIfTrue="1">
      <formula>0</formula>
    </cfRule>
  </conditionalFormatting>
  <conditionalFormatting sqref="A7">
    <cfRule type="cellIs" priority="7" dxfId="18" operator="lessThan" stopIfTrue="1">
      <formula>0</formula>
    </cfRule>
  </conditionalFormatting>
  <conditionalFormatting sqref="B4:B6">
    <cfRule type="cellIs" priority="6" dxfId="18" operator="lessThan" stopIfTrue="1">
      <formula>0</formula>
    </cfRule>
  </conditionalFormatting>
  <conditionalFormatting sqref="F7">
    <cfRule type="cellIs" priority="3" dxfId="18" operator="lessThan" stopIfTrue="1">
      <formula>0</formula>
    </cfRule>
  </conditionalFormatting>
  <conditionalFormatting sqref="F4:F6">
    <cfRule type="cellIs" priority="4" dxfId="18" operator="lessThan" stopIfTrue="1">
      <formula>0</formula>
    </cfRule>
  </conditionalFormatting>
  <conditionalFormatting sqref="AH7">
    <cfRule type="cellIs" priority="1" dxfId="18" operator="lessThan" stopIfTrue="1">
      <formula>0</formula>
    </cfRule>
  </conditionalFormatting>
  <conditionalFormatting sqref="AH4:AH6">
    <cfRule type="cellIs" priority="2" dxfId="18" operator="lessThan" stopIfTrue="1">
      <formula>0</formula>
    </cfRule>
  </conditionalFormatting>
  <printOptions/>
  <pageMargins left="0.7" right="0.7" top="0.75" bottom="0.75" header="0.3" footer="0.3"/>
  <pageSetup horizontalDpi="600" verticalDpi="600" orientation="landscape" paperSize="17" r:id="rId1"/>
</worksheet>
</file>

<file path=xl/worksheets/sheet4.xml><?xml version="1.0" encoding="utf-8"?>
<worksheet xmlns="http://schemas.openxmlformats.org/spreadsheetml/2006/main" xmlns:r="http://schemas.openxmlformats.org/officeDocument/2006/relationships">
  <dimension ref="A2:AE64"/>
  <sheetViews>
    <sheetView zoomScale="85" zoomScaleNormal="85" zoomScalePageLayoutView="0" workbookViewId="0" topLeftCell="A1">
      <pane xSplit="1" ySplit="11" topLeftCell="B12" activePane="bottomRight" state="frozen"/>
      <selection pane="topLeft" activeCell="A1" sqref="A1"/>
      <selection pane="topRight" activeCell="B1" sqref="B1"/>
      <selection pane="bottomLeft" activeCell="A12" sqref="A12"/>
      <selection pane="bottomRight" activeCell="H41" sqref="H41"/>
    </sheetView>
  </sheetViews>
  <sheetFormatPr defaultColWidth="8.88671875" defaultRowHeight="15"/>
  <cols>
    <col min="1" max="1" width="16.77734375" style="0" customWidth="1"/>
    <col min="2" max="2" width="11.10546875" style="0" bestFit="1" customWidth="1"/>
    <col min="3" max="3" width="10.99609375" style="0" customWidth="1"/>
    <col min="4" max="4" width="10.6640625" style="0" customWidth="1"/>
    <col min="5" max="5" width="12.3359375" style="0" bestFit="1" customWidth="1"/>
    <col min="6" max="6" width="13.10546875" style="0" customWidth="1"/>
    <col min="7" max="7" width="10.10546875" style="0" bestFit="1" customWidth="1"/>
    <col min="8" max="8" width="11.4453125" style="0" bestFit="1" customWidth="1"/>
    <col min="9" max="9" width="11.3359375" style="0" customWidth="1"/>
    <col min="10" max="11" width="11.99609375" style="0" bestFit="1" customWidth="1"/>
    <col min="12" max="12" width="11.88671875" style="0" customWidth="1"/>
    <col min="13" max="14" width="10.99609375" style="0" bestFit="1" customWidth="1"/>
    <col min="15" max="15" width="10.88671875" style="0" customWidth="1"/>
    <col min="16" max="16" width="8.6640625" style="0" bestFit="1" customWidth="1"/>
    <col min="17" max="17" width="8.4453125" style="0" bestFit="1" customWidth="1"/>
    <col min="18" max="18" width="8.5546875" style="0" customWidth="1"/>
    <col min="19" max="19" width="9.99609375" style="0" bestFit="1" customWidth="1"/>
    <col min="20" max="20" width="8.99609375" style="0" bestFit="1" customWidth="1"/>
    <col min="21" max="21" width="7.99609375" style="0" customWidth="1"/>
    <col min="22" max="22" width="12.4453125" style="0" bestFit="1" customWidth="1"/>
    <col min="23" max="23" width="9.5546875" style="0" bestFit="1" customWidth="1"/>
    <col min="24" max="24" width="9.4453125" style="0" customWidth="1"/>
    <col min="25" max="25" width="9.10546875" style="0" customWidth="1"/>
    <col min="26" max="26" width="6.6640625" style="0" bestFit="1" customWidth="1"/>
    <col min="27" max="27" width="6.5546875" style="0" customWidth="1"/>
    <col min="28" max="28" width="9.99609375" style="0" bestFit="1" customWidth="1"/>
    <col min="29" max="29" width="9.10546875" style="0" bestFit="1" customWidth="1"/>
    <col min="30" max="30" width="7.5546875" style="0" customWidth="1"/>
    <col min="31" max="31" width="9.10546875" style="0" bestFit="1" customWidth="1"/>
    <col min="32" max="32" width="7.5546875" style="0" bestFit="1" customWidth="1"/>
    <col min="33" max="33" width="12.3359375" style="0" bestFit="1" customWidth="1"/>
    <col min="34" max="34" width="9.4453125" style="0" bestFit="1" customWidth="1"/>
    <col min="35" max="35" width="10.99609375" style="0" bestFit="1" customWidth="1"/>
    <col min="36" max="36" width="6.5546875" style="0" bestFit="1" customWidth="1"/>
    <col min="37" max="37" width="10.88671875" style="0" bestFit="1" customWidth="1"/>
    <col min="38" max="38" width="9.4453125" style="0" bestFit="1" customWidth="1"/>
    <col min="39" max="39" width="10.99609375" style="0" bestFit="1" customWidth="1"/>
    <col min="40" max="40" width="6.5546875" style="0" bestFit="1" customWidth="1"/>
    <col min="41" max="41" width="12.3359375" style="0" bestFit="1" customWidth="1"/>
    <col min="42" max="42" width="9.4453125" style="0" bestFit="1" customWidth="1"/>
    <col min="43" max="43" width="10.99609375" style="0" bestFit="1" customWidth="1"/>
    <col min="44" max="44" width="7.5546875" style="0" bestFit="1" customWidth="1"/>
    <col min="45" max="45" width="12.3359375" style="0" customWidth="1"/>
    <col min="46" max="46" width="9.4453125" style="0" bestFit="1" customWidth="1"/>
    <col min="47" max="47" width="7.5546875" style="0" bestFit="1" customWidth="1"/>
    <col min="48" max="48" width="7.5546875" style="0" customWidth="1"/>
    <col min="49" max="49" width="9.77734375" style="0" bestFit="1" customWidth="1"/>
    <col min="50" max="50" width="8.88671875" style="0" bestFit="1" customWidth="1"/>
    <col min="51" max="51" width="9.4453125" style="0" bestFit="1" customWidth="1"/>
    <col min="52" max="52" width="11.99609375" style="0" bestFit="1" customWidth="1"/>
    <col min="53" max="53" width="7.5546875" style="0" bestFit="1" customWidth="1"/>
    <col min="54" max="54" width="13.4453125" style="0" bestFit="1" customWidth="1"/>
  </cols>
  <sheetData>
    <row r="1" ht="11.25" customHeight="1"/>
    <row r="2" spans="1:9" s="86" customFormat="1" ht="23.25">
      <c r="A2" s="174" t="s">
        <v>188</v>
      </c>
      <c r="F2" s="86" t="s">
        <v>66</v>
      </c>
      <c r="I2" s="214"/>
    </row>
    <row r="3" spans="1:6" ht="15">
      <c r="A3" t="s">
        <v>52</v>
      </c>
      <c r="B3" t="s">
        <v>53</v>
      </c>
      <c r="F3" s="37">
        <v>353.98</v>
      </c>
    </row>
    <row r="4" spans="1:9" ht="15">
      <c r="A4" t="s">
        <v>54</v>
      </c>
      <c r="B4" t="s">
        <v>55</v>
      </c>
      <c r="F4" s="37">
        <v>182.76</v>
      </c>
      <c r="I4" s="218"/>
    </row>
    <row r="5" spans="1:6" ht="15">
      <c r="A5" t="s">
        <v>56</v>
      </c>
      <c r="B5" t="s">
        <v>57</v>
      </c>
      <c r="F5" s="37">
        <v>217.06</v>
      </c>
    </row>
    <row r="6" spans="1:6" ht="15">
      <c r="A6" t="s">
        <v>56</v>
      </c>
      <c r="B6" t="s">
        <v>58</v>
      </c>
      <c r="F6" s="37">
        <v>776.85</v>
      </c>
    </row>
    <row r="7" spans="1:6" ht="15">
      <c r="A7" t="s">
        <v>59</v>
      </c>
      <c r="B7" t="s">
        <v>60</v>
      </c>
      <c r="F7" s="37">
        <v>166.58</v>
      </c>
    </row>
    <row r="8" spans="1:6" ht="15">
      <c r="A8" t="s">
        <v>61</v>
      </c>
      <c r="B8" t="s">
        <v>62</v>
      </c>
      <c r="F8" s="37">
        <v>331.83</v>
      </c>
    </row>
    <row r="9" spans="1:6" ht="15">
      <c r="A9" t="s">
        <v>61</v>
      </c>
      <c r="B9" t="s">
        <v>63</v>
      </c>
      <c r="F9" s="37">
        <v>281.23</v>
      </c>
    </row>
    <row r="10" spans="1:6" ht="15">
      <c r="A10" t="s">
        <v>64</v>
      </c>
      <c r="B10" t="s">
        <v>65</v>
      </c>
      <c r="F10" s="39">
        <v>4241.21</v>
      </c>
    </row>
    <row r="11" spans="1:6" ht="15">
      <c r="A11" t="s">
        <v>43</v>
      </c>
      <c r="F11" s="37">
        <f>SUM(F3:F10)</f>
        <v>6551.5</v>
      </c>
    </row>
    <row r="12" ht="6.75" customHeight="1">
      <c r="J12" s="37"/>
    </row>
    <row r="13" spans="1:10" ht="20.25">
      <c r="A13" s="49" t="s">
        <v>90</v>
      </c>
      <c r="J13" s="37"/>
    </row>
    <row r="14" ht="8.25" customHeight="1">
      <c r="J14" s="37"/>
    </row>
    <row r="15" ht="15">
      <c r="J15" s="37"/>
    </row>
    <row r="16" spans="1:10" ht="18">
      <c r="A16" s="48" t="s">
        <v>200</v>
      </c>
      <c r="J16" s="37"/>
    </row>
    <row r="17" spans="1:10" ht="15.75">
      <c r="A17" s="6"/>
      <c r="J17" s="37"/>
    </row>
    <row r="18" spans="1:31" ht="54.75" customHeight="1">
      <c r="A18" s="235"/>
      <c r="B18" s="285" t="s">
        <v>0</v>
      </c>
      <c r="C18" s="286"/>
      <c r="D18" s="287"/>
      <c r="E18" s="285" t="s">
        <v>92</v>
      </c>
      <c r="F18" s="286"/>
      <c r="G18" s="287"/>
      <c r="H18" s="285" t="s">
        <v>1</v>
      </c>
      <c r="I18" s="286"/>
      <c r="J18" s="287"/>
      <c r="K18" s="285" t="s">
        <v>17</v>
      </c>
      <c r="L18" s="286"/>
      <c r="M18" s="287"/>
      <c r="N18" s="285" t="s">
        <v>36</v>
      </c>
      <c r="O18" s="286"/>
      <c r="P18" s="287"/>
      <c r="Q18" s="285" t="s">
        <v>37</v>
      </c>
      <c r="R18" s="286"/>
      <c r="S18" s="287"/>
      <c r="T18" s="285" t="s">
        <v>38</v>
      </c>
      <c r="U18" s="286"/>
      <c r="V18" s="287"/>
      <c r="W18" s="285" t="s">
        <v>201</v>
      </c>
      <c r="X18" s="286"/>
      <c r="Y18" s="287"/>
      <c r="Z18" s="285" t="s">
        <v>2</v>
      </c>
      <c r="AA18" s="286"/>
      <c r="AB18" s="287"/>
      <c r="AC18" s="285" t="s">
        <v>24</v>
      </c>
      <c r="AD18" s="286"/>
      <c r="AE18" s="287"/>
    </row>
    <row r="19" spans="2:31" ht="15">
      <c r="B19" s="12" t="s">
        <v>91</v>
      </c>
      <c r="C19" s="13"/>
      <c r="D19" s="14" t="s">
        <v>93</v>
      </c>
      <c r="E19" s="12" t="s">
        <v>91</v>
      </c>
      <c r="F19" s="13"/>
      <c r="G19" s="14" t="s">
        <v>93</v>
      </c>
      <c r="H19" s="12" t="s">
        <v>91</v>
      </c>
      <c r="I19" s="13"/>
      <c r="J19" s="14" t="s">
        <v>93</v>
      </c>
      <c r="K19" s="12" t="s">
        <v>91</v>
      </c>
      <c r="L19" s="13"/>
      <c r="M19" s="14" t="s">
        <v>93</v>
      </c>
      <c r="N19" s="12" t="s">
        <v>91</v>
      </c>
      <c r="O19" s="13"/>
      <c r="P19" s="14" t="s">
        <v>93</v>
      </c>
      <c r="Q19" s="12" t="s">
        <v>91</v>
      </c>
      <c r="R19" s="13"/>
      <c r="S19" s="14" t="s">
        <v>93</v>
      </c>
      <c r="T19" s="12" t="s">
        <v>91</v>
      </c>
      <c r="U19" s="13"/>
      <c r="V19" s="14" t="s">
        <v>93</v>
      </c>
      <c r="W19" s="12" t="s">
        <v>91</v>
      </c>
      <c r="X19" s="13"/>
      <c r="Y19" s="14" t="s">
        <v>93</v>
      </c>
      <c r="Z19" s="12" t="s">
        <v>91</v>
      </c>
      <c r="AA19" s="13"/>
      <c r="AB19" s="14" t="s">
        <v>93</v>
      </c>
      <c r="AC19" s="12" t="s">
        <v>91</v>
      </c>
      <c r="AD19" s="13"/>
      <c r="AE19" s="14" t="s">
        <v>93</v>
      </c>
    </row>
    <row r="20" spans="2:31" ht="15">
      <c r="B20" s="12" t="s">
        <v>97</v>
      </c>
      <c r="C20" s="13" t="s">
        <v>98</v>
      </c>
      <c r="D20" s="14" t="s">
        <v>99</v>
      </c>
      <c r="E20" s="12" t="s">
        <v>97</v>
      </c>
      <c r="F20" s="13" t="s">
        <v>98</v>
      </c>
      <c r="G20" s="14" t="s">
        <v>99</v>
      </c>
      <c r="H20" s="12" t="s">
        <v>97</v>
      </c>
      <c r="I20" s="13" t="s">
        <v>98</v>
      </c>
      <c r="J20" s="14" t="s">
        <v>99</v>
      </c>
      <c r="K20" s="12" t="s">
        <v>97</v>
      </c>
      <c r="L20" s="13" t="s">
        <v>98</v>
      </c>
      <c r="M20" s="14" t="s">
        <v>99</v>
      </c>
      <c r="N20" s="12" t="s">
        <v>97</v>
      </c>
      <c r="O20" s="13" t="s">
        <v>98</v>
      </c>
      <c r="P20" s="14" t="s">
        <v>99</v>
      </c>
      <c r="Q20" s="12" t="s">
        <v>97</v>
      </c>
      <c r="R20" s="13" t="s">
        <v>98</v>
      </c>
      <c r="S20" s="14" t="s">
        <v>99</v>
      </c>
      <c r="T20" s="12" t="s">
        <v>97</v>
      </c>
      <c r="U20" s="13" t="s">
        <v>98</v>
      </c>
      <c r="V20" s="14" t="s">
        <v>99</v>
      </c>
      <c r="W20" s="12" t="s">
        <v>97</v>
      </c>
      <c r="X20" s="13" t="s">
        <v>98</v>
      </c>
      <c r="Y20" s="14" t="s">
        <v>99</v>
      </c>
      <c r="Z20" s="12" t="s">
        <v>97</v>
      </c>
      <c r="AA20" s="13" t="s">
        <v>98</v>
      </c>
      <c r="AB20" s="14" t="s">
        <v>99</v>
      </c>
      <c r="AC20" s="12" t="s">
        <v>97</v>
      </c>
      <c r="AD20" s="13" t="s">
        <v>98</v>
      </c>
      <c r="AE20" s="14" t="s">
        <v>99</v>
      </c>
    </row>
    <row r="21" spans="2:31" ht="15">
      <c r="B21" s="216"/>
      <c r="C21" s="216"/>
      <c r="D21" s="217"/>
      <c r="E21" s="215"/>
      <c r="F21" s="216"/>
      <c r="G21" s="217"/>
      <c r="H21" s="215"/>
      <c r="I21" s="216"/>
      <c r="J21" s="217"/>
      <c r="K21" s="215"/>
      <c r="L21" s="216"/>
      <c r="M21" s="217"/>
      <c r="N21" s="215"/>
      <c r="O21" s="216"/>
      <c r="P21" s="217"/>
      <c r="Q21" s="215"/>
      <c r="R21" s="216"/>
      <c r="S21" s="217"/>
      <c r="T21" s="215"/>
      <c r="U21" s="216"/>
      <c r="V21" s="217"/>
      <c r="W21" s="215"/>
      <c r="X21" s="216"/>
      <c r="Y21" s="217"/>
      <c r="Z21" s="215"/>
      <c r="AA21" s="216"/>
      <c r="AB21" s="217"/>
      <c r="AC21" s="12"/>
      <c r="AD21" s="13"/>
      <c r="AE21" s="14"/>
    </row>
    <row r="22" spans="2:31" ht="15">
      <c r="B22" s="12"/>
      <c r="C22" s="13"/>
      <c r="D22" s="14"/>
      <c r="E22" s="12"/>
      <c r="F22" s="13"/>
      <c r="G22" s="14"/>
      <c r="H22" s="12"/>
      <c r="I22" s="13"/>
      <c r="J22" s="14"/>
      <c r="K22" s="12"/>
      <c r="L22" s="13"/>
      <c r="M22" s="14"/>
      <c r="N22" s="12"/>
      <c r="O22" s="13"/>
      <c r="P22" s="14"/>
      <c r="Q22" s="12"/>
      <c r="R22" s="13"/>
      <c r="S22" s="14"/>
      <c r="T22" s="12"/>
      <c r="U22" s="13"/>
      <c r="V22" s="14"/>
      <c r="W22" s="12"/>
      <c r="X22" s="13"/>
      <c r="Y22" s="14"/>
      <c r="Z22" s="12"/>
      <c r="AA22" s="13"/>
      <c r="AB22" s="14"/>
      <c r="AC22" s="12"/>
      <c r="AD22" s="13"/>
      <c r="AE22" s="14"/>
    </row>
    <row r="23" spans="1:31" ht="15">
      <c r="A23" t="s">
        <v>4</v>
      </c>
      <c r="B23" s="124">
        <f>'Customer Usage database'!C123</f>
        <v>778.1506752376544</v>
      </c>
      <c r="C23" s="45">
        <f>'COSS Losses'!B122</f>
        <v>0.10245575514839916</v>
      </c>
      <c r="D23" s="99">
        <f>B23*(1+C23)</f>
        <v>857.8766902883649</v>
      </c>
      <c r="E23" s="124">
        <f>'Customer Usage database'!D123</f>
        <v>69.95615344770053</v>
      </c>
      <c r="F23" s="45">
        <f>'COSS Losses'!C122</f>
        <v>0.06629431582171758</v>
      </c>
      <c r="G23" s="99">
        <f>E23*(1+F23)</f>
        <v>74.59384877803492</v>
      </c>
      <c r="H23" s="124">
        <f>'Customer Usage database'!E123</f>
        <v>773.6991595177651</v>
      </c>
      <c r="I23" s="45">
        <f>'COSS Losses'!D122</f>
        <v>0.04266405318941119</v>
      </c>
      <c r="J23" s="99">
        <f>H23*(1+I23)</f>
        <v>806.7083016120338</v>
      </c>
      <c r="K23" s="124">
        <f>'Customer Usage database'!F123</f>
        <v>3024.3469276888227</v>
      </c>
      <c r="L23" s="45">
        <f>'COSS Losses'!E122</f>
        <v>0.035444420597991855</v>
      </c>
      <c r="M23" s="99">
        <f>K23*(1+L23)</f>
        <v>3131.5431522280696</v>
      </c>
      <c r="N23" s="124">
        <f>'Customer Usage database'!G123</f>
        <v>182.08995768871512</v>
      </c>
      <c r="O23" s="45">
        <f>'COSS Losses'!F122</f>
        <v>0.025952495774755058</v>
      </c>
      <c r="P23" s="99">
        <f>N23*(1+O23)</f>
        <v>186.8156465462568</v>
      </c>
      <c r="Q23" s="124">
        <f>'Customer Usage database'!H123</f>
        <v>429.9433868307128</v>
      </c>
      <c r="R23" s="45">
        <f>'COSS Losses'!G122</f>
        <v>0.021109502494920218</v>
      </c>
      <c r="S23" s="99">
        <f>Q23*(1+R23)</f>
        <v>439.0192778276902</v>
      </c>
      <c r="T23" s="124">
        <f>'Customer Usage database'!I123</f>
        <v>7184.500708339905</v>
      </c>
      <c r="U23" s="45">
        <f>'COSS Losses'!H122</f>
        <v>0.021109502494920218</v>
      </c>
      <c r="V23" s="99">
        <f>T23*(1+U23)</f>
        <v>7336.161943967362</v>
      </c>
      <c r="W23" s="124">
        <f>'Customer Usage database'!J123</f>
        <v>0</v>
      </c>
      <c r="X23" s="45"/>
      <c r="Y23" s="99">
        <f>'RtR Market DT'!AF11*$W$21</f>
        <v>0</v>
      </c>
      <c r="Z23" s="124">
        <f>'Customer Usage database'!K123</f>
        <v>39.13346277436293</v>
      </c>
      <c r="AA23" s="45"/>
      <c r="AB23" s="99">
        <f>Z23*(1+AA23)</f>
        <v>39.13346277436293</v>
      </c>
      <c r="AC23" s="124">
        <f aca="true" t="shared" si="0" ref="AC23:AC34">B23+E23+H23+K23+N23+Q23+T23+W23+Z23</f>
        <v>12481.820431525639</v>
      </c>
      <c r="AD23" s="45"/>
      <c r="AE23" s="99">
        <f aca="true" t="shared" si="1" ref="AE23:AE34">D23+G23+J23+M23+P23+S23+V23+Y23+AB23</f>
        <v>12871.852324022177</v>
      </c>
    </row>
    <row r="24" spans="1:31" ht="15">
      <c r="A24" t="s">
        <v>5</v>
      </c>
      <c r="B24" s="124">
        <f>'Customer Usage database'!C124</f>
        <v>1292.865702400723</v>
      </c>
      <c r="C24" s="45">
        <f>'COSS Losses'!B123</f>
        <v>0.11464099196887495</v>
      </c>
      <c r="D24" s="99">
        <f aca="true" t="shared" si="2" ref="D24:D35">B24*(1+C24)</f>
        <v>1441.081109006478</v>
      </c>
      <c r="E24" s="124">
        <f>'Customer Usage database'!D124</f>
        <v>114.9129623260453</v>
      </c>
      <c r="F24" s="45">
        <f>'COSS Losses'!C123</f>
        <v>0.06835944456990767</v>
      </c>
      <c r="G24" s="99">
        <f aca="true" t="shared" si="3" ref="G24:G35">E24*(1+F24)</f>
        <v>122.76834860453648</v>
      </c>
      <c r="H24" s="124">
        <f>'Customer Usage database'!E124</f>
        <v>967.3156521230468</v>
      </c>
      <c r="I24" s="45">
        <f>'COSS Losses'!D123</f>
        <v>0.038088901262188835</v>
      </c>
      <c r="J24" s="99">
        <f aca="true" t="shared" si="4" ref="J24:J35">H24*(1+I24)</f>
        <v>1004.1596424861312</v>
      </c>
      <c r="K24" s="124">
        <f>'Customer Usage database'!F124</f>
        <v>3087.7495077277645</v>
      </c>
      <c r="L24" s="45">
        <f>'COSS Losses'!E123</f>
        <v>0.03138744253201159</v>
      </c>
      <c r="M24" s="99">
        <f aca="true" t="shared" si="5" ref="M24:M35">K24*(1+L24)</f>
        <v>3184.6660679548168</v>
      </c>
      <c r="N24" s="124">
        <f>'Customer Usage database'!G124</f>
        <v>196.36549583145487</v>
      </c>
      <c r="O24" s="45">
        <f>'COSS Losses'!F123</f>
        <v>0.02755181814516</v>
      </c>
      <c r="P24" s="99">
        <f aca="true" t="shared" si="6" ref="P24:P35">N24*(1+O24)</f>
        <v>201.77572226258727</v>
      </c>
      <c r="Q24" s="124">
        <f>'Customer Usage database'!H124</f>
        <v>393.2273714733755</v>
      </c>
      <c r="R24" s="45">
        <f>'COSS Losses'!G123</f>
        <v>0.02386779165202385</v>
      </c>
      <c r="S24" s="99">
        <f aca="true" t="shared" si="7" ref="S24:S35">Q24*(1+R24)</f>
        <v>402.612840447575</v>
      </c>
      <c r="T24" s="124">
        <f>'Customer Usage database'!I124</f>
        <v>7328.312600418343</v>
      </c>
      <c r="U24" s="45">
        <f>'COSS Losses'!H123</f>
        <v>0.02386779165202385</v>
      </c>
      <c r="V24" s="99">
        <f aca="true" t="shared" si="8" ref="V24:V35">T24*(1+U24)</f>
        <v>7503.223238726029</v>
      </c>
      <c r="W24" s="124">
        <f>'Customer Usage database'!J124</f>
        <v>0</v>
      </c>
      <c r="X24" s="45"/>
      <c r="Y24" s="99">
        <f>'RtR Market DT'!AF12*$W$21</f>
        <v>0</v>
      </c>
      <c r="Z24" s="124">
        <f>'Customer Usage database'!K124</f>
        <v>55.2203776690194</v>
      </c>
      <c r="AA24" s="45"/>
      <c r="AB24" s="99">
        <f aca="true" t="shared" si="9" ref="AB24:AB35">Z24*(1+AA24)</f>
        <v>55.2203776690194</v>
      </c>
      <c r="AC24" s="124">
        <f t="shared" si="0"/>
        <v>13435.96966996977</v>
      </c>
      <c r="AD24" s="45"/>
      <c r="AE24" s="99">
        <f t="shared" si="1"/>
        <v>13915.507347157174</v>
      </c>
    </row>
    <row r="25" spans="1:31" ht="15">
      <c r="A25" t="s">
        <v>6</v>
      </c>
      <c r="B25" s="124">
        <f>'Customer Usage database'!C125</f>
        <v>1572.68823634582</v>
      </c>
      <c r="C25" s="45">
        <f>'COSS Losses'!B124</f>
        <v>0.0915621305974646</v>
      </c>
      <c r="D25" s="99">
        <f t="shared" si="2"/>
        <v>1716.6869220312121</v>
      </c>
      <c r="E25" s="124">
        <f>'Customer Usage database'!D125</f>
        <v>167.57910949923453</v>
      </c>
      <c r="F25" s="45">
        <f>'COSS Losses'!C124</f>
        <v>0.07151733936492738</v>
      </c>
      <c r="G25" s="99">
        <f t="shared" si="3"/>
        <v>179.5639215437636</v>
      </c>
      <c r="H25" s="124">
        <f>'Customer Usage database'!E125</f>
        <v>1356.8257422628026</v>
      </c>
      <c r="I25" s="45">
        <f>'COSS Losses'!D124</f>
        <v>0.045685168918618235</v>
      </c>
      <c r="J25" s="99">
        <f t="shared" si="4"/>
        <v>1418.8125554912083</v>
      </c>
      <c r="K25" s="124">
        <f>'Customer Usage database'!F125</f>
        <v>3058.305534838583</v>
      </c>
      <c r="L25" s="45">
        <f>'COSS Losses'!E124</f>
        <v>0.037260985085035225</v>
      </c>
      <c r="M25" s="99">
        <f t="shared" si="5"/>
        <v>3172.2610117576837</v>
      </c>
      <c r="N25" s="124">
        <f>'Customer Usage database'!G125</f>
        <v>173.75711412178157</v>
      </c>
      <c r="O25" s="45">
        <f>'COSS Losses'!F124</f>
        <v>0.03430525669007195</v>
      </c>
      <c r="P25" s="99">
        <f t="shared" si="6"/>
        <v>179.7178965234554</v>
      </c>
      <c r="Q25" s="124">
        <f>'Customer Usage database'!H125</f>
        <v>736.5795189308894</v>
      </c>
      <c r="R25" s="45">
        <f>'COSS Losses'!G124</f>
        <v>0.027212681864590638</v>
      </c>
      <c r="S25" s="99">
        <f t="shared" si="7"/>
        <v>756.623823047529</v>
      </c>
      <c r="T25" s="124">
        <f>'Customer Usage database'!I125</f>
        <v>6743.375633932616</v>
      </c>
      <c r="U25" s="45">
        <f>'COSS Losses'!H124</f>
        <v>0.027212681864590638</v>
      </c>
      <c r="V25" s="99">
        <f t="shared" si="8"/>
        <v>6926.8809697522565</v>
      </c>
      <c r="W25" s="124">
        <f>'Customer Usage database'!J125</f>
        <v>0</v>
      </c>
      <c r="X25" s="45"/>
      <c r="Y25" s="99">
        <f>'RtR Market DT'!AF13*$W$21</f>
        <v>0</v>
      </c>
      <c r="Z25" s="124">
        <f>'Customer Usage database'!K125</f>
        <v>66.762001819832</v>
      </c>
      <c r="AA25" s="45"/>
      <c r="AB25" s="99">
        <f t="shared" si="9"/>
        <v>66.762001819832</v>
      </c>
      <c r="AC25" s="124">
        <f t="shared" si="0"/>
        <v>13875.87289175156</v>
      </c>
      <c r="AD25" s="45"/>
      <c r="AE25" s="99">
        <f t="shared" si="1"/>
        <v>14417.309101966941</v>
      </c>
    </row>
    <row r="26" spans="1:31" ht="15">
      <c r="A26" t="s">
        <v>7</v>
      </c>
      <c r="B26" s="124">
        <f>'Customer Usage database'!C126</f>
        <v>1726.7097751741296</v>
      </c>
      <c r="C26" s="45">
        <f>'COSS Losses'!B125</f>
        <v>0.08261804630560327</v>
      </c>
      <c r="D26" s="99">
        <f t="shared" si="2"/>
        <v>1869.3671633358035</v>
      </c>
      <c r="E26" s="124">
        <f>'Customer Usage database'!D126</f>
        <v>169.45941579960518</v>
      </c>
      <c r="F26" s="45">
        <f>'COSS Losses'!C125</f>
        <v>0.055108242487055537</v>
      </c>
      <c r="G26" s="99">
        <f t="shared" si="3"/>
        <v>178.7980263772046</v>
      </c>
      <c r="H26" s="124">
        <f>'Customer Usage database'!E126</f>
        <v>1655.56128518072</v>
      </c>
      <c r="I26" s="45">
        <f>'COSS Losses'!D125</f>
        <v>0.03222372101791887</v>
      </c>
      <c r="J26" s="99">
        <f t="shared" si="4"/>
        <v>1708.9096301624506</v>
      </c>
      <c r="K26" s="124">
        <f>'Customer Usage database'!F126</f>
        <v>2902.7450506245586</v>
      </c>
      <c r="L26" s="45">
        <f>'COSS Losses'!E125</f>
        <v>0.02960964169136765</v>
      </c>
      <c r="M26" s="99">
        <f t="shared" si="5"/>
        <v>2988.6942914949427</v>
      </c>
      <c r="N26" s="124">
        <f>'Customer Usage database'!G126</f>
        <v>196.9540906053636</v>
      </c>
      <c r="O26" s="45">
        <f>'COSS Losses'!F125</f>
        <v>0.026257403531212475</v>
      </c>
      <c r="P26" s="99">
        <f t="shared" si="6"/>
        <v>202.1255936395116</v>
      </c>
      <c r="Q26" s="124">
        <f>'Customer Usage database'!H126</f>
        <v>771.1876139183066</v>
      </c>
      <c r="R26" s="45">
        <f>'COSS Losses'!G125</f>
        <v>0.022437073380623895</v>
      </c>
      <c r="S26" s="99">
        <f t="shared" si="7"/>
        <v>788.4908070020199</v>
      </c>
      <c r="T26" s="124">
        <f>'Customer Usage database'!I126</f>
        <v>7196.09856199924</v>
      </c>
      <c r="U26" s="45">
        <f>'COSS Losses'!H125</f>
        <v>0.022437073380623895</v>
      </c>
      <c r="V26" s="99">
        <f t="shared" si="8"/>
        <v>7357.5579534890185</v>
      </c>
      <c r="W26" s="124">
        <f>'Customer Usage database'!J126</f>
        <v>0</v>
      </c>
      <c r="X26" s="45"/>
      <c r="Y26" s="99">
        <f>'RtR Market DT'!AF14*$W$21</f>
        <v>0</v>
      </c>
      <c r="Z26" s="124">
        <f>'Customer Usage database'!K126</f>
        <v>94.38870075634627</v>
      </c>
      <c r="AA26" s="45"/>
      <c r="AB26" s="99">
        <f t="shared" si="9"/>
        <v>94.38870075634627</v>
      </c>
      <c r="AC26" s="124">
        <f t="shared" si="0"/>
        <v>14713.104494058269</v>
      </c>
      <c r="AD26" s="45"/>
      <c r="AE26" s="99">
        <f t="shared" si="1"/>
        <v>15188.3321662573</v>
      </c>
    </row>
    <row r="27" spans="1:31" ht="15">
      <c r="A27" t="s">
        <v>8</v>
      </c>
      <c r="B27" s="124">
        <f>'Customer Usage database'!C127</f>
        <v>1754.4464033058455</v>
      </c>
      <c r="C27" s="45">
        <f>'COSS Losses'!B126</f>
        <v>0.07358673241127539</v>
      </c>
      <c r="D27" s="99">
        <f t="shared" si="2"/>
        <v>1883.5503813158373</v>
      </c>
      <c r="E27" s="124">
        <f>'Customer Usage database'!D127</f>
        <v>163.09991918030613</v>
      </c>
      <c r="F27" s="45">
        <f>'COSS Losses'!C126</f>
        <v>0.06288468915329198</v>
      </c>
      <c r="G27" s="99">
        <f t="shared" si="3"/>
        <v>173.35640689888672</v>
      </c>
      <c r="H27" s="124">
        <f>'Customer Usage database'!E127</f>
        <v>1813.0427391962712</v>
      </c>
      <c r="I27" s="45">
        <f>'COSS Losses'!D126</f>
        <v>0.03909173293992413</v>
      </c>
      <c r="J27" s="99">
        <f t="shared" si="4"/>
        <v>1883.9177217656002</v>
      </c>
      <c r="K27" s="124">
        <f>'Customer Usage database'!F127</f>
        <v>3111.943371082188</v>
      </c>
      <c r="L27" s="45">
        <f>'COSS Losses'!E126</f>
        <v>0.03581243624867586</v>
      </c>
      <c r="M27" s="99">
        <f t="shared" si="5"/>
        <v>3223.3896446685585</v>
      </c>
      <c r="N27" s="124">
        <f>'Customer Usage database'!G127</f>
        <v>245.47051589170232</v>
      </c>
      <c r="O27" s="45">
        <f>'COSS Losses'!F126</f>
        <v>0.032471116015112156</v>
      </c>
      <c r="P27" s="99">
        <f t="shared" si="6"/>
        <v>253.4412174915112</v>
      </c>
      <c r="Q27" s="124">
        <f>'Customer Usage database'!H127</f>
        <v>786.2020488114917</v>
      </c>
      <c r="R27" s="45">
        <f>'COSS Losses'!G126</f>
        <v>0.030302491005565202</v>
      </c>
      <c r="S27" s="99">
        <f t="shared" si="7"/>
        <v>810.0259293241588</v>
      </c>
      <c r="T27" s="124">
        <f>'Customer Usage database'!I127</f>
        <v>6693.489439245788</v>
      </c>
      <c r="U27" s="45">
        <f>'COSS Losses'!H126</f>
        <v>0.030302491005565202</v>
      </c>
      <c r="V27" s="99">
        <f t="shared" si="8"/>
        <v>6896.318842774379</v>
      </c>
      <c r="W27" s="124">
        <f>'Customer Usage database'!J127</f>
        <v>0</v>
      </c>
      <c r="X27" s="45"/>
      <c r="Y27" s="99">
        <f>'RtR Market DT'!AF15*$W$21</f>
        <v>0</v>
      </c>
      <c r="Z27" s="124">
        <f>'Customer Usage database'!K127</f>
        <v>108.19849296328297</v>
      </c>
      <c r="AA27" s="45"/>
      <c r="AB27" s="99">
        <f t="shared" si="9"/>
        <v>108.19849296328297</v>
      </c>
      <c r="AC27" s="124">
        <f t="shared" si="0"/>
        <v>14675.892929676877</v>
      </c>
      <c r="AD27" s="45"/>
      <c r="AE27" s="99">
        <f t="shared" si="1"/>
        <v>15232.198637202215</v>
      </c>
    </row>
    <row r="28" spans="1:31" ht="15">
      <c r="A28" t="s">
        <v>9</v>
      </c>
      <c r="B28" s="124">
        <f>'Customer Usage database'!C128</f>
        <v>2010.0689501221016</v>
      </c>
      <c r="C28" s="45">
        <f>'COSS Losses'!B127</f>
        <v>0.06600010566204834</v>
      </c>
      <c r="D28" s="99">
        <f t="shared" si="2"/>
        <v>2142.733713218163</v>
      </c>
      <c r="E28" s="124">
        <f>'Customer Usage database'!D128</f>
        <v>188.55765153289084</v>
      </c>
      <c r="F28" s="45">
        <f>'COSS Losses'!C127</f>
        <v>0.048757083818753044</v>
      </c>
      <c r="G28" s="99">
        <f t="shared" si="3"/>
        <v>197.75117275334722</v>
      </c>
      <c r="H28" s="124">
        <f>'Customer Usage database'!E128</f>
        <v>2050.3116824230738</v>
      </c>
      <c r="I28" s="45">
        <f>'COSS Losses'!D127</f>
        <v>0.02459800692987707</v>
      </c>
      <c r="J28" s="99">
        <f t="shared" si="4"/>
        <v>2100.745263395724</v>
      </c>
      <c r="K28" s="124">
        <f>'Customer Usage database'!F128</f>
        <v>3195.383679632217</v>
      </c>
      <c r="L28" s="45">
        <f>'COSS Losses'!E127</f>
        <v>0.02254731478272226</v>
      </c>
      <c r="M28" s="99">
        <f t="shared" si="5"/>
        <v>3267.431001308458</v>
      </c>
      <c r="N28" s="124">
        <f>'Customer Usage database'!G128</f>
        <v>265.2900118524515</v>
      </c>
      <c r="O28" s="45">
        <f>'COSS Losses'!F127</f>
        <v>0.019540590258472268</v>
      </c>
      <c r="P28" s="99">
        <f t="shared" si="6"/>
        <v>270.47393527372554</v>
      </c>
      <c r="Q28" s="124">
        <f>'Customer Usage database'!H128</f>
        <v>816.7187202306641</v>
      </c>
      <c r="R28" s="45">
        <f>'COSS Losses'!G127</f>
        <v>0.019270456076237397</v>
      </c>
      <c r="S28" s="99">
        <f t="shared" si="7"/>
        <v>832.4572624555099</v>
      </c>
      <c r="T28" s="124">
        <f>'Customer Usage database'!I128</f>
        <v>7357.795386349369</v>
      </c>
      <c r="U28" s="45">
        <f>'COSS Losses'!H127</f>
        <v>0.019270456076237397</v>
      </c>
      <c r="V28" s="99">
        <f t="shared" si="8"/>
        <v>7499.583459159957</v>
      </c>
      <c r="W28" s="124">
        <f>'Customer Usage database'!J128</f>
        <v>0</v>
      </c>
      <c r="X28" s="45"/>
      <c r="Y28" s="99">
        <f>'RtR Market DT'!AF16*$W$21</f>
        <v>0</v>
      </c>
      <c r="Z28" s="124">
        <f>'Customer Usage database'!K128</f>
        <v>135.82464071508727</v>
      </c>
      <c r="AA28" s="45"/>
      <c r="AB28" s="99">
        <f t="shared" si="9"/>
        <v>135.82464071508727</v>
      </c>
      <c r="AC28" s="124">
        <f t="shared" si="0"/>
        <v>16019.950722857855</v>
      </c>
      <c r="AD28" s="45"/>
      <c r="AE28" s="99">
        <f t="shared" si="1"/>
        <v>16447.00044827997</v>
      </c>
    </row>
    <row r="29" spans="1:31" ht="15">
      <c r="A29" t="s">
        <v>10</v>
      </c>
      <c r="B29" s="124">
        <f>'Customer Usage database'!C129</f>
        <v>2095.754598259526</v>
      </c>
      <c r="C29" s="45">
        <f>'COSS Losses'!B128</f>
        <v>0.04690583885500371</v>
      </c>
      <c r="D29" s="99">
        <f t="shared" si="2"/>
        <v>2194.0577257251202</v>
      </c>
      <c r="E29" s="124">
        <f>'Customer Usage database'!D129</f>
        <v>191.49184127820524</v>
      </c>
      <c r="F29" s="45">
        <f>'COSS Losses'!C128</f>
        <v>0.04935880893735117</v>
      </c>
      <c r="G29" s="99">
        <f t="shared" si="3"/>
        <v>200.94365048491775</v>
      </c>
      <c r="H29" s="124">
        <f>'Customer Usage database'!E129</f>
        <v>2425.3525809057205</v>
      </c>
      <c r="I29" s="45">
        <f>'COSS Losses'!D128</f>
        <v>0.03566310973062842</v>
      </c>
      <c r="J29" s="99">
        <f t="shared" si="4"/>
        <v>2511.848196134024</v>
      </c>
      <c r="K29" s="124">
        <f>'Customer Usage database'!F129</f>
        <v>3413.4366845741106</v>
      </c>
      <c r="L29" s="45">
        <f>'COSS Losses'!E128</f>
        <v>0.02948493050439721</v>
      </c>
      <c r="M29" s="99">
        <f t="shared" si="5"/>
        <v>3514.081627999938</v>
      </c>
      <c r="N29" s="124">
        <f>'Customer Usage database'!G129</f>
        <v>352.0273667229447</v>
      </c>
      <c r="O29" s="45">
        <f>'COSS Losses'!F128</f>
        <v>0.01965489674663773</v>
      </c>
      <c r="P29" s="99">
        <f t="shared" si="6"/>
        <v>358.9464282678749</v>
      </c>
      <c r="Q29" s="124">
        <f>'Customer Usage database'!H129</f>
        <v>834.930543037447</v>
      </c>
      <c r="R29" s="45">
        <f>'COSS Losses'!G128</f>
        <v>0.01872506228624432</v>
      </c>
      <c r="S29" s="99">
        <f t="shared" si="7"/>
        <v>850.5646694605109</v>
      </c>
      <c r="T29" s="124">
        <f>'Customer Usage database'!I129</f>
        <v>7661.143748258565</v>
      </c>
      <c r="U29" s="45">
        <f>'COSS Losses'!H128</f>
        <v>0.01872506228624432</v>
      </c>
      <c r="V29" s="99">
        <f t="shared" si="8"/>
        <v>7804.599142128578</v>
      </c>
      <c r="W29" s="124">
        <f>'Customer Usage database'!J129</f>
        <v>0</v>
      </c>
      <c r="X29" s="45"/>
      <c r="Y29" s="99">
        <f>'RtR Market DT'!AF17*$W$21</f>
        <v>0</v>
      </c>
      <c r="Z29" s="124">
        <f>'Customer Usage database'!K129</f>
        <v>154.23074641048083</v>
      </c>
      <c r="AA29" s="45"/>
      <c r="AB29" s="99">
        <f t="shared" si="9"/>
        <v>154.23074641048083</v>
      </c>
      <c r="AC29" s="124">
        <f t="shared" si="0"/>
        <v>17128.368109447</v>
      </c>
      <c r="AD29" s="45"/>
      <c r="AE29" s="99">
        <f t="shared" si="1"/>
        <v>17589.272186611444</v>
      </c>
    </row>
    <row r="30" spans="1:31" ht="15">
      <c r="A30" t="s">
        <v>11</v>
      </c>
      <c r="B30" s="124">
        <f>'Customer Usage database'!C130</f>
        <v>2349.2685371969174</v>
      </c>
      <c r="C30" s="45">
        <f>'COSS Losses'!B129</f>
        <v>0.06247914915991576</v>
      </c>
      <c r="D30" s="99">
        <f t="shared" si="2"/>
        <v>2496.0488365491406</v>
      </c>
      <c r="E30" s="124">
        <f>'Customer Usage database'!D130</f>
        <v>225.76255180686525</v>
      </c>
      <c r="F30" s="45">
        <f>'COSS Losses'!C129</f>
        <v>0.06087802900042122</v>
      </c>
      <c r="G30" s="99">
        <f t="shared" si="3"/>
        <v>239.50653098297266</v>
      </c>
      <c r="H30" s="124">
        <f>'Customer Usage database'!E130</f>
        <v>2678.048987512204</v>
      </c>
      <c r="I30" s="45">
        <f>'COSS Losses'!D129</f>
        <v>0.043238592706953904</v>
      </c>
      <c r="J30" s="99">
        <f t="shared" si="4"/>
        <v>2793.8440569325144</v>
      </c>
      <c r="K30" s="124">
        <f>'Customer Usage database'!F130</f>
        <v>3668.992306496788</v>
      </c>
      <c r="L30" s="45">
        <f>'COSS Losses'!E129</f>
        <v>0.039913281290298086</v>
      </c>
      <c r="M30" s="99">
        <f t="shared" si="5"/>
        <v>3815.4338284779337</v>
      </c>
      <c r="N30" s="124">
        <f>'Customer Usage database'!G130</f>
        <v>410.39304660043706</v>
      </c>
      <c r="O30" s="45">
        <f>'COSS Losses'!F129</f>
        <v>0.026946919129612834</v>
      </c>
      <c r="P30" s="99">
        <f t="shared" si="6"/>
        <v>421.4518748385344</v>
      </c>
      <c r="Q30" s="124">
        <f>'Customer Usage database'!H130</f>
        <v>818.7464418837377</v>
      </c>
      <c r="R30" s="45">
        <f>'COSS Losses'!G129</f>
        <v>0.02608237416038023</v>
      </c>
      <c r="S30" s="99">
        <f t="shared" si="7"/>
        <v>840.1012929234294</v>
      </c>
      <c r="T30" s="124">
        <f>'Customer Usage database'!I130</f>
        <v>7759.0127508572305</v>
      </c>
      <c r="U30" s="45">
        <f>'COSS Losses'!H129</f>
        <v>0.02608237416038023</v>
      </c>
      <c r="V30" s="99">
        <f t="shared" si="8"/>
        <v>7961.38622454025</v>
      </c>
      <c r="W30" s="124">
        <f>'Customer Usage database'!J130</f>
        <v>0</v>
      </c>
      <c r="X30" s="45"/>
      <c r="Y30" s="99">
        <f>'RtR Market DT'!AF18*$W$21</f>
        <v>0</v>
      </c>
      <c r="Z30" s="124">
        <f>'Customer Usage database'!K130</f>
        <v>179.56544067210638</v>
      </c>
      <c r="AA30" s="45"/>
      <c r="AB30" s="99">
        <f t="shared" si="9"/>
        <v>179.56544067210638</v>
      </c>
      <c r="AC30" s="124">
        <f t="shared" si="0"/>
        <v>18089.79006302629</v>
      </c>
      <c r="AD30" s="45"/>
      <c r="AE30" s="99">
        <f t="shared" si="1"/>
        <v>18747.338085916883</v>
      </c>
    </row>
    <row r="31" spans="1:31" ht="15">
      <c r="A31" t="s">
        <v>12</v>
      </c>
      <c r="B31" s="124">
        <f>'Customer Usage database'!C131</f>
        <v>2543.2633731865753</v>
      </c>
      <c r="C31" s="45">
        <f>'COSS Losses'!B130</f>
        <v>0.053380208792822625</v>
      </c>
      <c r="D31" s="99">
        <f t="shared" si="2"/>
        <v>2679.023303062413</v>
      </c>
      <c r="E31" s="124">
        <f>'Customer Usage database'!D131</f>
        <v>234.08456923293323</v>
      </c>
      <c r="F31" s="45">
        <f>'COSS Losses'!C130</f>
        <v>0.044657393135726864</v>
      </c>
      <c r="G31" s="99">
        <f t="shared" si="3"/>
        <v>244.53817586817559</v>
      </c>
      <c r="H31" s="124">
        <f>'Customer Usage database'!E131</f>
        <v>2948.6385752677215</v>
      </c>
      <c r="I31" s="45">
        <f>'COSS Losses'!D130</f>
        <v>0.032804409123538714</v>
      </c>
      <c r="J31" s="99">
        <f t="shared" si="4"/>
        <v>3045.366921448252</v>
      </c>
      <c r="K31" s="124">
        <f>'Customer Usage database'!F131</f>
        <v>3730.7810186376805</v>
      </c>
      <c r="L31" s="45">
        <f>'COSS Losses'!E130</f>
        <v>0.02043393696377921</v>
      </c>
      <c r="M31" s="99">
        <f t="shared" si="5"/>
        <v>3807.0155627981867</v>
      </c>
      <c r="N31" s="124">
        <f>'Customer Usage database'!G131</f>
        <v>391.98587103776936</v>
      </c>
      <c r="O31" s="45">
        <f>'COSS Losses'!F130</f>
        <v>0.016143793170109222</v>
      </c>
      <c r="P31" s="99">
        <f t="shared" si="6"/>
        <v>398.3140098654082</v>
      </c>
      <c r="Q31" s="124">
        <f>'Customer Usage database'!H131</f>
        <v>846.4490204529354</v>
      </c>
      <c r="R31" s="45">
        <f>'COSS Losses'!G130</f>
        <v>0.015361604626041026</v>
      </c>
      <c r="S31" s="99">
        <f t="shared" si="7"/>
        <v>859.4518356412331</v>
      </c>
      <c r="T31" s="124">
        <f>'Customer Usage database'!I131</f>
        <v>8195.932126991134</v>
      </c>
      <c r="U31" s="45">
        <f>'COSS Losses'!H130</f>
        <v>0.015361604626041026</v>
      </c>
      <c r="V31" s="99">
        <f t="shared" si="8"/>
        <v>8321.834795867839</v>
      </c>
      <c r="W31" s="124">
        <f>'Customer Usage database'!J131</f>
        <v>9001.100499146745</v>
      </c>
      <c r="X31" s="45"/>
      <c r="Y31" s="99">
        <f>'RtR Market DT'!AF19*$W$21</f>
        <v>0</v>
      </c>
      <c r="Z31" s="124">
        <f>'Customer Usage database'!K131</f>
        <v>204.896319039586</v>
      </c>
      <c r="AA31" s="45"/>
      <c r="AB31" s="99">
        <f t="shared" si="9"/>
        <v>204.896319039586</v>
      </c>
      <c r="AC31" s="124">
        <f t="shared" si="0"/>
        <v>28097.13137299308</v>
      </c>
      <c r="AD31" s="45"/>
      <c r="AE31" s="99">
        <f t="shared" si="1"/>
        <v>19560.44092359109</v>
      </c>
    </row>
    <row r="32" spans="1:31" ht="15">
      <c r="A32" t="s">
        <v>13</v>
      </c>
      <c r="B32" s="124">
        <f>'Customer Usage database'!C132</f>
        <v>3516.999325069846</v>
      </c>
      <c r="C32" s="45">
        <f>'COSS Losses'!B131</f>
        <v>0.06972948632554915</v>
      </c>
      <c r="D32" s="99">
        <f t="shared" si="2"/>
        <v>3762.237881414269</v>
      </c>
      <c r="E32" s="124">
        <f>'Customer Usage database'!D132</f>
        <v>263.96551803572515</v>
      </c>
      <c r="F32" s="45">
        <f>'COSS Losses'!C131</f>
        <v>0.0446887816190496</v>
      </c>
      <c r="G32" s="99">
        <f t="shared" si="3"/>
        <v>275.761815426183</v>
      </c>
      <c r="H32" s="124">
        <f>'Customer Usage database'!E132</f>
        <v>2848.1173589077607</v>
      </c>
      <c r="I32" s="45">
        <f>'COSS Losses'!D131</f>
        <v>0.036030723212358506</v>
      </c>
      <c r="J32" s="99">
        <f t="shared" si="4"/>
        <v>2950.73708714288</v>
      </c>
      <c r="K32" s="124">
        <f>'Customer Usage database'!F132</f>
        <v>3548.978354007902</v>
      </c>
      <c r="L32" s="45">
        <f>'COSS Losses'!E131</f>
        <v>0.030933672983476213</v>
      </c>
      <c r="M32" s="99">
        <f t="shared" si="5"/>
        <v>3658.761289836218</v>
      </c>
      <c r="N32" s="124">
        <f>'Customer Usage database'!G132</f>
        <v>365.7947832502089</v>
      </c>
      <c r="O32" s="45">
        <f>'COSS Losses'!F131</f>
        <v>0.027936622663096655</v>
      </c>
      <c r="P32" s="99">
        <f t="shared" si="6"/>
        <v>376.0138540819992</v>
      </c>
      <c r="Q32" s="124">
        <f>'Customer Usage database'!H132</f>
        <v>1195.071389892939</v>
      </c>
      <c r="R32" s="45">
        <f>'COSS Losses'!G131</f>
        <v>0.024521208007875217</v>
      </c>
      <c r="S32" s="99">
        <f t="shared" si="7"/>
        <v>1224.3759840287642</v>
      </c>
      <c r="T32" s="124">
        <f>'Customer Usage database'!I132</f>
        <v>7057.611849224157</v>
      </c>
      <c r="U32" s="45">
        <f>'COSS Losses'!H131</f>
        <v>0.024521208007875217</v>
      </c>
      <c r="V32" s="99">
        <f t="shared" si="8"/>
        <v>7230.6730174178265</v>
      </c>
      <c r="W32" s="124">
        <f>'Customer Usage database'!J132</f>
        <v>7872.859360130632</v>
      </c>
      <c r="X32" s="45"/>
      <c r="Y32" s="99">
        <f>'RtR Market DT'!AF20*$W$21</f>
        <v>0</v>
      </c>
      <c r="Z32" s="124">
        <f>'Customer Usage database'!K132</f>
        <v>211.81775916411794</v>
      </c>
      <c r="AA32" s="45"/>
      <c r="AB32" s="99">
        <f t="shared" si="9"/>
        <v>211.81775916411794</v>
      </c>
      <c r="AC32" s="124">
        <f t="shared" si="0"/>
        <v>26881.215697683285</v>
      </c>
      <c r="AD32" s="45"/>
      <c r="AE32" s="99">
        <f t="shared" si="1"/>
        <v>19690.378688512257</v>
      </c>
    </row>
    <row r="33" spans="1:31" ht="15">
      <c r="A33" t="s">
        <v>14</v>
      </c>
      <c r="B33" s="124">
        <f>'Customer Usage database'!C133</f>
        <v>4468.39979243049</v>
      </c>
      <c r="C33" s="45">
        <f>'COSS Losses'!B132</f>
        <v>0.0856582226553842</v>
      </c>
      <c r="D33" s="99">
        <f t="shared" si="2"/>
        <v>4851.154976763773</v>
      </c>
      <c r="E33" s="124">
        <f>'Customer Usage database'!D133</f>
        <v>319.5118778592995</v>
      </c>
      <c r="F33" s="45">
        <f>'COSS Losses'!C132</f>
        <v>0.05385511413405136</v>
      </c>
      <c r="G33" s="99">
        <f t="shared" si="3"/>
        <v>336.7192265085971</v>
      </c>
      <c r="H33" s="124">
        <f>'Customer Usage database'!E133</f>
        <v>2890.0561993329557</v>
      </c>
      <c r="I33" s="45">
        <f>'COSS Losses'!D132</f>
        <v>0.03141256048864888</v>
      </c>
      <c r="J33" s="99">
        <f t="shared" si="4"/>
        <v>2980.840264510097</v>
      </c>
      <c r="K33" s="124">
        <f>'Customer Usage database'!F133</f>
        <v>3059.8429334976327</v>
      </c>
      <c r="L33" s="45">
        <f>'COSS Losses'!E132</f>
        <v>0.028729724366265474</v>
      </c>
      <c r="M33" s="99">
        <f t="shared" si="5"/>
        <v>3147.751377581085</v>
      </c>
      <c r="N33" s="124">
        <f>'Customer Usage database'!G133</f>
        <v>389.89426588705567</v>
      </c>
      <c r="O33" s="45">
        <f>'COSS Losses'!F132</f>
        <v>0.025233734337307745</v>
      </c>
      <c r="P33" s="99">
        <f t="shared" si="6"/>
        <v>399.7327542120892</v>
      </c>
      <c r="Q33" s="124">
        <f>'Customer Usage database'!H133</f>
        <v>1194.0621347081703</v>
      </c>
      <c r="R33" s="45">
        <f>'COSS Losses'!G132</f>
        <v>0.019983868497539803</v>
      </c>
      <c r="S33" s="99">
        <f t="shared" si="7"/>
        <v>1217.92411538607</v>
      </c>
      <c r="T33" s="124">
        <f>'Customer Usage database'!I133</f>
        <v>7341.112008521004</v>
      </c>
      <c r="U33" s="45">
        <f>'COSS Losses'!H132</f>
        <v>0.019983868497539803</v>
      </c>
      <c r="V33" s="99">
        <f t="shared" si="8"/>
        <v>7487.815825524997</v>
      </c>
      <c r="W33" s="124">
        <f>'Customer Usage database'!J133</f>
        <v>8062.302852238108</v>
      </c>
      <c r="X33" s="45"/>
      <c r="Y33" s="99">
        <f>'RtR Market DT'!AF21*$W$21</f>
        <v>0</v>
      </c>
      <c r="Z33" s="124">
        <f>'Customer Usage database'!K133</f>
        <v>223.32877136411568</v>
      </c>
      <c r="AA33" s="45"/>
      <c r="AB33" s="99">
        <f t="shared" si="9"/>
        <v>223.32877136411568</v>
      </c>
      <c r="AC33" s="124">
        <f t="shared" si="0"/>
        <v>27948.510835838828</v>
      </c>
      <c r="AD33" s="45"/>
      <c r="AE33" s="99">
        <f t="shared" si="1"/>
        <v>20645.267311850825</v>
      </c>
    </row>
    <row r="34" spans="1:31" ht="17.25">
      <c r="A34" t="s">
        <v>15</v>
      </c>
      <c r="B34" s="170">
        <f>'Customer Usage database'!C134</f>
        <v>6271.297278968627</v>
      </c>
      <c r="C34" s="145">
        <f>'COSS Losses'!B133</f>
        <v>0.11328594585678481</v>
      </c>
      <c r="D34" s="100">
        <f t="shared" si="2"/>
        <v>6981.7471229656685</v>
      </c>
      <c r="E34" s="170">
        <f>'Customer Usage database'!D134</f>
        <v>443.6428367339608</v>
      </c>
      <c r="F34" s="145">
        <f>'COSS Losses'!C133</f>
        <v>0.0689471551535828</v>
      </c>
      <c r="G34" s="100">
        <f t="shared" si="3"/>
        <v>474.23074823103275</v>
      </c>
      <c r="H34" s="170">
        <f>'Customer Usage database'!E134</f>
        <v>3182.8289281856396</v>
      </c>
      <c r="I34" s="145">
        <f>'COSS Losses'!D133</f>
        <v>0.052187811228501524</v>
      </c>
      <c r="J34" s="100">
        <f t="shared" si="4"/>
        <v>3348.933803462405</v>
      </c>
      <c r="K34" s="170">
        <f>'Customer Usage database'!F134</f>
        <v>3158.284165767976</v>
      </c>
      <c r="L34" s="145">
        <f>'COSS Losses'!E133</f>
        <v>0.04473313064976808</v>
      </c>
      <c r="M34" s="100">
        <f t="shared" si="5"/>
        <v>3299.5641039843686</v>
      </c>
      <c r="N34" s="170">
        <f>'Customer Usage database'!G134</f>
        <v>425.67267603102675</v>
      </c>
      <c r="O34" s="145">
        <f>'COSS Losses'!F133</f>
        <v>0.03870427709714647</v>
      </c>
      <c r="P34" s="100">
        <f t="shared" si="6"/>
        <v>442.14802923681543</v>
      </c>
      <c r="Q34" s="170">
        <f>'Customer Usage database'!H134</f>
        <v>1327.3099774299217</v>
      </c>
      <c r="R34" s="145">
        <f>'COSS Losses'!G133</f>
        <v>0.034866568983548174</v>
      </c>
      <c r="S34" s="100">
        <f t="shared" si="7"/>
        <v>1373.5887223205336</v>
      </c>
      <c r="T34" s="170">
        <f>'Customer Usage database'!I134</f>
        <v>7680.66428992053</v>
      </c>
      <c r="U34" s="145">
        <f>'COSS Losses'!H133</f>
        <v>0.034866568983548174</v>
      </c>
      <c r="V34" s="100">
        <f t="shared" si="8"/>
        <v>7948.462701224518</v>
      </c>
      <c r="W34" s="170">
        <f>'Customer Usage database'!J134</f>
        <v>8435.212749762322</v>
      </c>
      <c r="X34" s="145"/>
      <c r="Y34" s="100">
        <f>'RtR Market DT'!AF22*$W$21</f>
        <v>0</v>
      </c>
      <c r="Z34" s="170">
        <f>'Customer Usage database'!K134</f>
        <v>232.55019562218374</v>
      </c>
      <c r="AA34" s="145"/>
      <c r="AB34" s="100">
        <f t="shared" si="9"/>
        <v>232.55019562218374</v>
      </c>
      <c r="AC34" s="170">
        <f t="shared" si="0"/>
        <v>31157.463098422188</v>
      </c>
      <c r="AD34" s="145"/>
      <c r="AE34" s="100">
        <f t="shared" si="1"/>
        <v>24101.225427047528</v>
      </c>
    </row>
    <row r="35" spans="1:31" s="6" customFormat="1" ht="15.75">
      <c r="A35" t="s">
        <v>95</v>
      </c>
      <c r="B35" s="125">
        <f>MAX(B23:B34)</f>
        <v>6271.297278968627</v>
      </c>
      <c r="C35" s="126"/>
      <c r="D35" s="127">
        <f t="shared" si="2"/>
        <v>6271.297278968627</v>
      </c>
      <c r="E35" s="125">
        <f>MAX(E23:E34)</f>
        <v>443.6428367339608</v>
      </c>
      <c r="F35" s="126"/>
      <c r="G35" s="127">
        <f t="shared" si="3"/>
        <v>443.6428367339608</v>
      </c>
      <c r="H35" s="125">
        <f>MAX(H23:H34)</f>
        <v>3182.8289281856396</v>
      </c>
      <c r="I35" s="126">
        <f>'COSS Losses'!D134</f>
        <v>11.168239835492457</v>
      </c>
      <c r="J35" s="127">
        <f t="shared" si="4"/>
        <v>38729.425753506264</v>
      </c>
      <c r="K35" s="125">
        <f>MAX(K23:K34)</f>
        <v>3730.7810186376805</v>
      </c>
      <c r="L35" s="126">
        <f>'COSS Losses'!E134</f>
        <v>12.692314139381729</v>
      </c>
      <c r="M35" s="127">
        <f t="shared" si="5"/>
        <v>51083.025692429685</v>
      </c>
      <c r="N35" s="125">
        <f>MAX(N23:N34)</f>
        <v>425.67267603102675</v>
      </c>
      <c r="O35" s="126">
        <f>'COSS Losses'!F134</f>
        <v>11.708802292449876</v>
      </c>
      <c r="P35" s="127">
        <f t="shared" si="6"/>
        <v>5409.7898809763865</v>
      </c>
      <c r="Q35" s="125">
        <f>MAX(Q23:Q34)</f>
        <v>1327.3099774299217</v>
      </c>
      <c r="R35" s="126">
        <f>'COSS Losses'!G134</f>
        <v>11.485581650169314</v>
      </c>
      <c r="S35" s="127">
        <f t="shared" si="7"/>
        <v>16572.237098285677</v>
      </c>
      <c r="T35" s="125">
        <f>MAX(T23:T34)</f>
        <v>8195.932126991134</v>
      </c>
      <c r="U35" s="126">
        <f>'COSS Losses'!H134</f>
        <v>11.485581650169314</v>
      </c>
      <c r="V35" s="127">
        <f t="shared" si="8"/>
        <v>102330.97977079367</v>
      </c>
      <c r="W35" s="125">
        <f>MAX(W23:W34)</f>
        <v>9001.100499146745</v>
      </c>
      <c r="X35" s="126"/>
      <c r="Y35" s="127">
        <f>MAX(Y23:Y34)</f>
        <v>0</v>
      </c>
      <c r="Z35" s="125">
        <f>MAX(Z23:Z34)</f>
        <v>232.55019562218374</v>
      </c>
      <c r="AA35" s="126"/>
      <c r="AB35" s="127">
        <f t="shared" si="9"/>
        <v>232.55019562218374</v>
      </c>
      <c r="AC35" s="125">
        <f>MAX(AC23:AC34)</f>
        <v>31157.463098422188</v>
      </c>
      <c r="AD35" s="126"/>
      <c r="AE35" s="127">
        <f>MAX(AE23:AE34)</f>
        <v>24101.225427047528</v>
      </c>
    </row>
    <row r="36" spans="1:31" ht="15">
      <c r="A36" s="84"/>
      <c r="B36" s="128"/>
      <c r="C36" s="129"/>
      <c r="D36" s="111"/>
      <c r="E36" s="128"/>
      <c r="F36" s="129"/>
      <c r="G36" s="111"/>
      <c r="H36" s="128"/>
      <c r="I36" s="129"/>
      <c r="J36" s="111"/>
      <c r="K36" s="128"/>
      <c r="L36" s="129"/>
      <c r="M36" s="111"/>
      <c r="N36" s="128"/>
      <c r="O36" s="129"/>
      <c r="P36" s="111"/>
      <c r="Q36" s="128"/>
      <c r="R36" s="129"/>
      <c r="S36" s="111"/>
      <c r="T36" s="128"/>
      <c r="U36" s="129"/>
      <c r="V36" s="111"/>
      <c r="W36" s="128"/>
      <c r="X36" s="129"/>
      <c r="Y36" s="111"/>
      <c r="Z36" s="128"/>
      <c r="AA36" s="129"/>
      <c r="AB36" s="111"/>
      <c r="AC36" s="128"/>
      <c r="AD36" s="129"/>
      <c r="AE36" s="111"/>
    </row>
    <row r="37" ht="15">
      <c r="J37" s="37"/>
    </row>
    <row r="38" spans="1:10" ht="18">
      <c r="A38" s="48" t="s">
        <v>96</v>
      </c>
      <c r="J38" s="37"/>
    </row>
    <row r="40" spans="2:13" ht="23.25" customHeight="1">
      <c r="B40" s="288" t="s">
        <v>71</v>
      </c>
      <c r="C40" s="289"/>
      <c r="D40" s="289"/>
      <c r="E40" s="289"/>
      <c r="F40" s="288" t="s">
        <v>69</v>
      </c>
      <c r="G40" s="282"/>
      <c r="H40" s="282"/>
      <c r="I40" s="277"/>
      <c r="J40" s="288" t="s">
        <v>104</v>
      </c>
      <c r="K40" s="282"/>
      <c r="L40" s="282"/>
      <c r="M40" s="277"/>
    </row>
    <row r="41" spans="1:13" ht="90" customHeight="1">
      <c r="A41" s="176"/>
      <c r="B41" s="65" t="s">
        <v>72</v>
      </c>
      <c r="C41" s="66" t="s">
        <v>207</v>
      </c>
      <c r="D41" s="67" t="s">
        <v>259</v>
      </c>
      <c r="E41" s="66" t="s">
        <v>70</v>
      </c>
      <c r="F41" s="69" t="s">
        <v>112</v>
      </c>
      <c r="G41" s="67" t="s">
        <v>111</v>
      </c>
      <c r="H41" s="67" t="s">
        <v>189</v>
      </c>
      <c r="I41" s="68" t="s">
        <v>43</v>
      </c>
      <c r="J41" s="65" t="s">
        <v>67</v>
      </c>
      <c r="K41" s="66" t="s">
        <v>68</v>
      </c>
      <c r="L41" s="67" t="s">
        <v>187</v>
      </c>
      <c r="M41" s="68" t="s">
        <v>43</v>
      </c>
    </row>
    <row r="42" spans="1:13" ht="15">
      <c r="A42" t="s">
        <v>4</v>
      </c>
      <c r="B42" s="12">
        <f>'Customer Usage database'!B60</f>
        <v>31</v>
      </c>
      <c r="C42" s="50">
        <f>'RtR Market EBS '!AE24/1000</f>
        <v>7458.64570818323</v>
      </c>
      <c r="D42" s="30">
        <f>AE23/1000*(1+'RtR Market EBS '!$B$7)</f>
        <v>13.16533055700988</v>
      </c>
      <c r="E42" s="63">
        <f aca="true" t="shared" si="10" ref="E42:E54">C42/(B42*24*D42)</f>
        <v>0.7614743429584686</v>
      </c>
      <c r="F42" s="54">
        <f aca="true" t="shared" si="11" ref="F42:F53">D42*($F$10+$F$3)</f>
        <v>60497.19532226624</v>
      </c>
      <c r="G42" s="43">
        <f aca="true" t="shared" si="12" ref="G42:G53">D42*($F$11-$F$10-$F$3)</f>
        <v>25755.467821984</v>
      </c>
      <c r="H42" s="43">
        <v>7890</v>
      </c>
      <c r="I42" s="19">
        <f>F42+G42+H42</f>
        <v>94142.66314425024</v>
      </c>
      <c r="J42" s="172">
        <f aca="true" t="shared" si="13" ref="J42:J54">F42/C42</f>
        <v>8.111016086458152</v>
      </c>
      <c r="K42" s="42">
        <f aca="true" t="shared" si="14" ref="K42:K54">G42/C42</f>
        <v>3.453102457156058</v>
      </c>
      <c r="L42" s="42">
        <f>H42/C42</f>
        <v>1.0578327901194597</v>
      </c>
      <c r="M42" s="16">
        <f aca="true" t="shared" si="15" ref="M42:M54">I42/C42</f>
        <v>12.62195133373367</v>
      </c>
    </row>
    <row r="43" spans="1:13" ht="15">
      <c r="A43" t="s">
        <v>5</v>
      </c>
      <c r="B43" s="12">
        <f>'Customer Usage database'!B61</f>
        <v>28</v>
      </c>
      <c r="C43" s="50">
        <f>'RtR Market EBS '!AE25/1000</f>
        <v>7238.40470189902</v>
      </c>
      <c r="D43" s="30">
        <f>AE24/1000*(1+'RtR Market EBS '!$B$7)</f>
        <v>14.232780914672357</v>
      </c>
      <c r="E43" s="63">
        <f t="shared" si="10"/>
        <v>0.7568047054808527</v>
      </c>
      <c r="F43" s="54">
        <f t="shared" si="11"/>
        <v>65402.33253129328</v>
      </c>
      <c r="G43" s="43">
        <f t="shared" si="12"/>
        <v>27843.73163118268</v>
      </c>
      <c r="H43" s="43">
        <v>2540</v>
      </c>
      <c r="I43" s="19">
        <f aca="true" t="shared" si="16" ref="I43:I53">F43+G43+H43</f>
        <v>95786.06416247596</v>
      </c>
      <c r="J43" s="172">
        <f t="shared" si="13"/>
        <v>9.035462263409332</v>
      </c>
      <c r="K43" s="42">
        <f t="shared" si="14"/>
        <v>3.8466668800485526</v>
      </c>
      <c r="L43" s="42">
        <f aca="true" t="shared" si="17" ref="L43:L54">H43/C43</f>
        <v>0.35090604968987466</v>
      </c>
      <c r="M43" s="16">
        <f t="shared" si="15"/>
        <v>13.23303519314776</v>
      </c>
    </row>
    <row r="44" spans="1:13" ht="15">
      <c r="A44" t="s">
        <v>6</v>
      </c>
      <c r="B44" s="12">
        <f>'Customer Usage database'!B62</f>
        <v>31</v>
      </c>
      <c r="C44" s="50">
        <f>'RtR Market EBS '!AE26/1000</f>
        <v>8340.931171045928</v>
      </c>
      <c r="D44" s="30">
        <f>AE25/1000*(1+'RtR Market EBS '!$B$7)</f>
        <v>14.746023749491787</v>
      </c>
      <c r="E44" s="63">
        <f t="shared" si="10"/>
        <v>0.7602679328200377</v>
      </c>
      <c r="F44" s="54">
        <f t="shared" si="11"/>
        <v>67760.78087342717</v>
      </c>
      <c r="G44" s="43">
        <f t="shared" si="12"/>
        <v>28847.793721368278</v>
      </c>
      <c r="H44" s="43">
        <v>3930</v>
      </c>
      <c r="I44" s="19">
        <f t="shared" si="16"/>
        <v>100538.57459479544</v>
      </c>
      <c r="J44" s="172">
        <f t="shared" si="13"/>
        <v>8.123886827965537</v>
      </c>
      <c r="K44" s="42">
        <f t="shared" si="14"/>
        <v>3.4585819172694183</v>
      </c>
      <c r="L44" s="42">
        <f t="shared" si="17"/>
        <v>0.47117041483836986</v>
      </c>
      <c r="M44" s="16">
        <f t="shared" si="15"/>
        <v>12.053639160073324</v>
      </c>
    </row>
    <row r="45" spans="1:13" ht="15">
      <c r="A45" t="s">
        <v>7</v>
      </c>
      <c r="B45" s="12">
        <f>'Customer Usage database'!B63</f>
        <v>30</v>
      </c>
      <c r="C45" s="50">
        <f>'RtR Market EBS '!AE27/1000</f>
        <v>8294.449048104914</v>
      </c>
      <c r="D45" s="30">
        <f>AE26/1000*(1+'RtR Market EBS '!$B$7)</f>
        <v>15.534626139647965</v>
      </c>
      <c r="E45" s="63">
        <f t="shared" si="10"/>
        <v>0.7415735672560573</v>
      </c>
      <c r="F45" s="54">
        <f t="shared" si="11"/>
        <v>71384.55869064895</v>
      </c>
      <c r="G45" s="43">
        <f t="shared" si="12"/>
        <v>30390.54446325471</v>
      </c>
      <c r="H45" s="43">
        <v>6210</v>
      </c>
      <c r="I45" s="19">
        <f t="shared" si="16"/>
        <v>107985.10315390366</v>
      </c>
      <c r="J45" s="172">
        <f t="shared" si="13"/>
        <v>8.606305045295159</v>
      </c>
      <c r="K45" s="42">
        <f t="shared" si="14"/>
        <v>3.663961799873644</v>
      </c>
      <c r="L45" s="42">
        <f t="shared" si="17"/>
        <v>0.748693489342591</v>
      </c>
      <c r="M45" s="16">
        <f t="shared" si="15"/>
        <v>13.018960334511393</v>
      </c>
    </row>
    <row r="46" spans="1:13" ht="15">
      <c r="A46" t="s">
        <v>8</v>
      </c>
      <c r="B46" s="12">
        <f>'Customer Usage database'!B64</f>
        <v>31</v>
      </c>
      <c r="C46" s="50">
        <f>'RtR Market EBS '!AE28/1000</f>
        <v>8890.059546720526</v>
      </c>
      <c r="D46" s="30">
        <f>AE27/1000*(1+'RtR Market EBS '!$B$7)</f>
        <v>15.579492766130425</v>
      </c>
      <c r="E46" s="63">
        <f t="shared" si="10"/>
        <v>0.7669700770409182</v>
      </c>
      <c r="F46" s="54">
        <f t="shared" si="11"/>
        <v>71590.72936399488</v>
      </c>
      <c r="G46" s="43">
        <f t="shared" si="12"/>
        <v>30478.317493308612</v>
      </c>
      <c r="H46" s="43">
        <v>4010</v>
      </c>
      <c r="I46" s="19">
        <f t="shared" si="16"/>
        <v>106079.04685730349</v>
      </c>
      <c r="J46" s="172">
        <f t="shared" si="13"/>
        <v>8.052896494985136</v>
      </c>
      <c r="K46" s="42">
        <f t="shared" si="14"/>
        <v>3.4283592064973094</v>
      </c>
      <c r="L46" s="42">
        <f t="shared" si="17"/>
        <v>0.4510655951094566</v>
      </c>
      <c r="M46" s="16">
        <f t="shared" si="15"/>
        <v>11.932321296591903</v>
      </c>
    </row>
    <row r="47" spans="1:13" ht="15">
      <c r="A47" t="s">
        <v>9</v>
      </c>
      <c r="B47" s="12">
        <f>'Customer Usage database'!B65</f>
        <v>30</v>
      </c>
      <c r="C47" s="50">
        <f>'RtR Market EBS '!AE29/1000</f>
        <v>8660.592310642358</v>
      </c>
      <c r="D47" s="30">
        <f>AE28/1000*(1+'RtR Market EBS '!$B$7)</f>
        <v>16.82199205850075</v>
      </c>
      <c r="E47" s="63">
        <f t="shared" si="10"/>
        <v>0.715052081205165</v>
      </c>
      <c r="F47" s="54">
        <f t="shared" si="11"/>
        <v>77300.24968730207</v>
      </c>
      <c r="G47" s="43">
        <f t="shared" si="12"/>
        <v>32909.0312839656</v>
      </c>
      <c r="H47" s="43">
        <v>2120</v>
      </c>
      <c r="I47" s="19">
        <f t="shared" si="16"/>
        <v>112329.28097126767</v>
      </c>
      <c r="J47" s="172">
        <f t="shared" si="13"/>
        <v>8.925515359072328</v>
      </c>
      <c r="K47" s="42">
        <f t="shared" si="14"/>
        <v>3.7998591901764205</v>
      </c>
      <c r="L47" s="42">
        <f t="shared" si="17"/>
        <v>0.24478695266545333</v>
      </c>
      <c r="M47" s="16">
        <f t="shared" si="15"/>
        <v>12.970161501914202</v>
      </c>
    </row>
    <row r="48" spans="1:13" ht="15">
      <c r="A48" t="s">
        <v>10</v>
      </c>
      <c r="B48" s="12">
        <f>'Customer Usage database'!B66</f>
        <v>31</v>
      </c>
      <c r="C48" s="50">
        <f>'RtR Market EBS '!AE30/1000</f>
        <v>9798.575735917773</v>
      </c>
      <c r="D48" s="30">
        <f>AE29/1000*(1+'RtR Market EBS '!$B$7)</f>
        <v>17.990307592466184</v>
      </c>
      <c r="E48" s="63">
        <f t="shared" si="10"/>
        <v>0.7320680099335323</v>
      </c>
      <c r="F48" s="54">
        <f t="shared" si="11"/>
        <v>82668.8815458247</v>
      </c>
      <c r="G48" s="43">
        <f t="shared" si="12"/>
        <v>35194.61864621752</v>
      </c>
      <c r="H48" s="43">
        <v>1110</v>
      </c>
      <c r="I48" s="19">
        <f t="shared" si="16"/>
        <v>118973.50019204221</v>
      </c>
      <c r="J48" s="172">
        <f t="shared" si="13"/>
        <v>8.436826307602306</v>
      </c>
      <c r="K48" s="42">
        <f t="shared" si="14"/>
        <v>3.591809625679344</v>
      </c>
      <c r="L48" s="42">
        <f t="shared" si="17"/>
        <v>0.11328176970977231</v>
      </c>
      <c r="M48" s="16">
        <f t="shared" si="15"/>
        <v>12.141917702991421</v>
      </c>
    </row>
    <row r="49" spans="1:13" ht="15">
      <c r="A49" t="s">
        <v>11</v>
      </c>
      <c r="B49" s="12">
        <f>'Customer Usage database'!B67</f>
        <v>31</v>
      </c>
      <c r="C49" s="50">
        <f>'RtR Market EBS '!AE31/1000</f>
        <v>10412.031578146403</v>
      </c>
      <c r="D49" s="30">
        <f>AE30/1000*(1+'RtR Market EBS '!$B$7)</f>
        <v>19.174777394275786</v>
      </c>
      <c r="E49" s="63">
        <f t="shared" si="10"/>
        <v>0.7298476436986928</v>
      </c>
      <c r="F49" s="54">
        <f t="shared" si="11"/>
        <v>88111.74533440216</v>
      </c>
      <c r="G49" s="43">
        <f t="shared" si="12"/>
        <v>37511.80876419566</v>
      </c>
      <c r="H49" s="43">
        <v>1490</v>
      </c>
      <c r="I49" s="19">
        <f t="shared" si="16"/>
        <v>127113.55409859782</v>
      </c>
      <c r="J49" s="172">
        <f t="shared" si="13"/>
        <v>8.462493094943937</v>
      </c>
      <c r="K49" s="42">
        <f t="shared" si="14"/>
        <v>3.602736745721019</v>
      </c>
      <c r="L49" s="42">
        <f t="shared" si="17"/>
        <v>0.14310367662803963</v>
      </c>
      <c r="M49" s="16">
        <f t="shared" si="15"/>
        <v>12.208333517292996</v>
      </c>
    </row>
    <row r="50" spans="1:13" ht="15">
      <c r="A50" t="s">
        <v>12</v>
      </c>
      <c r="B50" s="12">
        <f>'Customer Usage database'!B68</f>
        <v>30</v>
      </c>
      <c r="C50" s="50">
        <f>'RtR Market EBS '!AE32/1000</f>
        <v>15362.754881218998</v>
      </c>
      <c r="D50" s="30">
        <f>AE31/1000*(1+'RtR Market EBS '!$B$7)</f>
        <v>20.006418976648966</v>
      </c>
      <c r="E50" s="63">
        <f t="shared" si="10"/>
        <v>1.0665156808998577</v>
      </c>
      <c r="F50" s="54">
        <f t="shared" si="11"/>
        <v>91933.29641730757</v>
      </c>
      <c r="G50" s="43">
        <f t="shared" si="12"/>
        <v>39138.75750820814</v>
      </c>
      <c r="H50" s="43">
        <v>1930</v>
      </c>
      <c r="I50" s="19">
        <f t="shared" si="16"/>
        <v>133002.0539255157</v>
      </c>
      <c r="J50" s="172">
        <f t="shared" si="13"/>
        <v>5.984167366342363</v>
      </c>
      <c r="K50" s="42">
        <f t="shared" si="14"/>
        <v>2.5476392620216415</v>
      </c>
      <c r="L50" s="42">
        <f t="shared" si="17"/>
        <v>0.1256285096600369</v>
      </c>
      <c r="M50" s="16">
        <f t="shared" si="15"/>
        <v>8.657435138024042</v>
      </c>
    </row>
    <row r="51" spans="1:13" ht="15">
      <c r="A51" t="s">
        <v>13</v>
      </c>
      <c r="B51" s="12">
        <f>'Customer Usage database'!B69</f>
        <v>31</v>
      </c>
      <c r="C51" s="50">
        <f>'RtR Market EBS '!AE33/1000</f>
        <v>15869.149591670468</v>
      </c>
      <c r="D51" s="30">
        <f>AE32/1000*(1+'RtR Market EBS '!$B$7)</f>
        <v>20.139319322610337</v>
      </c>
      <c r="E51" s="63">
        <f t="shared" si="10"/>
        <v>1.0590974698631188</v>
      </c>
      <c r="F51" s="54">
        <f t="shared" si="11"/>
        <v>92543.9987580658</v>
      </c>
      <c r="G51" s="43">
        <f t="shared" si="12"/>
        <v>39398.751784015825</v>
      </c>
      <c r="H51" s="43">
        <v>3010</v>
      </c>
      <c r="I51" s="19">
        <f t="shared" si="16"/>
        <v>134952.75054208163</v>
      </c>
      <c r="J51" s="172">
        <f t="shared" si="13"/>
        <v>5.831692380456296</v>
      </c>
      <c r="K51" s="42">
        <f t="shared" si="14"/>
        <v>2.482726094200774</v>
      </c>
      <c r="L51" s="42">
        <f t="shared" si="17"/>
        <v>0.18967620051801098</v>
      </c>
      <c r="M51" s="16">
        <f t="shared" si="15"/>
        <v>8.50409467517508</v>
      </c>
    </row>
    <row r="52" spans="1:13" ht="15">
      <c r="A52" t="s">
        <v>14</v>
      </c>
      <c r="B52" s="12">
        <f>'Customer Usage database'!B70</f>
        <v>30</v>
      </c>
      <c r="C52" s="50">
        <f>'RtR Market EBS '!AE34/1000</f>
        <v>16190.37813025207</v>
      </c>
      <c r="D52" s="30">
        <f>AE33/1000*(1+'RtR Market EBS '!$B$7)</f>
        <v>21.11597940656102</v>
      </c>
      <c r="E52" s="63">
        <f t="shared" si="10"/>
        <v>1.0649108837939982</v>
      </c>
      <c r="F52" s="54">
        <f t="shared" si="11"/>
        <v>97031.93740923515</v>
      </c>
      <c r="G52" s="43">
        <f t="shared" si="12"/>
        <v>41309.40167284939</v>
      </c>
      <c r="H52" s="43">
        <v>2010</v>
      </c>
      <c r="I52" s="19">
        <f t="shared" si="16"/>
        <v>140351.33908208454</v>
      </c>
      <c r="J52" s="172">
        <f t="shared" si="13"/>
        <v>5.993185373967819</v>
      </c>
      <c r="K52" s="42">
        <f t="shared" si="14"/>
        <v>2.5514784979395806</v>
      </c>
      <c r="L52" s="42">
        <f t="shared" si="17"/>
        <v>0.12414781074472077</v>
      </c>
      <c r="M52" s="16">
        <f t="shared" si="15"/>
        <v>8.668811682652121</v>
      </c>
    </row>
    <row r="53" spans="1:13" ht="17.25">
      <c r="A53" t="s">
        <v>15</v>
      </c>
      <c r="B53" s="51">
        <f>'Customer Usage database'!B71</f>
        <v>31</v>
      </c>
      <c r="C53" s="52">
        <f>'RtR Market EBS '!AE35/1000</f>
        <v>16341.594497031205</v>
      </c>
      <c r="D53" s="31">
        <f>AE34/1000*(1+'RtR Market EBS '!$B$7)</f>
        <v>24.65073336678421</v>
      </c>
      <c r="E53" s="64">
        <f t="shared" si="10"/>
        <v>0.8910286118369624</v>
      </c>
      <c r="F53" s="122">
        <f t="shared" si="11"/>
        <v>113274.80345971315</v>
      </c>
      <c r="G53" s="44">
        <f t="shared" si="12"/>
        <v>48224.47619277362</v>
      </c>
      <c r="H53" s="44">
        <v>4910</v>
      </c>
      <c r="I53" s="21">
        <f t="shared" si="16"/>
        <v>166409.27965248676</v>
      </c>
      <c r="J53" s="173">
        <f t="shared" si="13"/>
        <v>6.931686102007482</v>
      </c>
      <c r="K53" s="55">
        <f t="shared" si="14"/>
        <v>2.951026364136903</v>
      </c>
      <c r="L53" s="55">
        <f t="shared" si="17"/>
        <v>0.30046027643703954</v>
      </c>
      <c r="M53" s="56">
        <f t="shared" si="15"/>
        <v>10.183172742581425</v>
      </c>
    </row>
    <row r="54" spans="1:13" ht="15">
      <c r="A54" t="s">
        <v>24</v>
      </c>
      <c r="B54" s="12">
        <f>SUM(B42:B53)</f>
        <v>365</v>
      </c>
      <c r="C54" s="50">
        <f>SUM(C42:C53)</f>
        <v>132857.5669008329</v>
      </c>
      <c r="D54" s="30">
        <f>MAX(D42:D53)</f>
        <v>24.65073336678421</v>
      </c>
      <c r="E54" s="63">
        <f t="shared" si="10"/>
        <v>0.615251022756842</v>
      </c>
      <c r="F54" s="54">
        <f>SUM(F42:F53)</f>
        <v>979500.5093934812</v>
      </c>
      <c r="G54" s="43">
        <f>SUM(G42:G53)</f>
        <v>417002.700983324</v>
      </c>
      <c r="H54" s="43">
        <f>SUM(H42:H53)</f>
        <v>41160</v>
      </c>
      <c r="I54" s="19">
        <f>SUM(I42:I53)</f>
        <v>1437663.2103768052</v>
      </c>
      <c r="J54" s="172">
        <f t="shared" si="13"/>
        <v>7.372560948106153</v>
      </c>
      <c r="K54" s="42">
        <f t="shared" si="14"/>
        <v>3.1387199894649713</v>
      </c>
      <c r="L54" s="42">
        <f t="shared" si="17"/>
        <v>0.30980546279853605</v>
      </c>
      <c r="M54" s="16">
        <f t="shared" si="15"/>
        <v>10.82108640036966</v>
      </c>
    </row>
    <row r="55" spans="1:13" ht="15">
      <c r="A55" s="84"/>
      <c r="B55" s="24"/>
      <c r="C55" s="25"/>
      <c r="D55" s="25"/>
      <c r="E55" s="25"/>
      <c r="F55" s="24"/>
      <c r="G55" s="25"/>
      <c r="H55" s="25"/>
      <c r="I55" s="26"/>
      <c r="J55" s="24"/>
      <c r="K55" s="25"/>
      <c r="L55" s="25"/>
      <c r="M55" s="26"/>
    </row>
    <row r="58" ht="15.75">
      <c r="A58" s="6" t="s">
        <v>184</v>
      </c>
    </row>
    <row r="59" ht="15">
      <c r="A59" t="s">
        <v>228</v>
      </c>
    </row>
    <row r="60" ht="15">
      <c r="A60" t="s">
        <v>229</v>
      </c>
    </row>
    <row r="61" ht="15">
      <c r="A61" t="s">
        <v>262</v>
      </c>
    </row>
    <row r="62" ht="15">
      <c r="A62" t="s">
        <v>230</v>
      </c>
    </row>
    <row r="63" ht="15">
      <c r="A63" t="s">
        <v>231</v>
      </c>
    </row>
    <row r="64" ht="15">
      <c r="A64" t="s">
        <v>233</v>
      </c>
    </row>
  </sheetData>
  <sheetProtection/>
  <mergeCells count="13">
    <mergeCell ref="N18:P18"/>
    <mergeCell ref="Q18:S18"/>
    <mergeCell ref="Z18:AB18"/>
    <mergeCell ref="AC18:AE18"/>
    <mergeCell ref="T18:V18"/>
    <mergeCell ref="W18:Y18"/>
    <mergeCell ref="B18:D18"/>
    <mergeCell ref="E18:G18"/>
    <mergeCell ref="H18:J18"/>
    <mergeCell ref="K18:M18"/>
    <mergeCell ref="B40:E40"/>
    <mergeCell ref="F40:I40"/>
    <mergeCell ref="J40:M40"/>
  </mergeCells>
  <printOptions/>
  <pageMargins left="0.7" right="0.7" top="0.75" bottom="0.75" header="0.3" footer="0.3"/>
  <pageSetup horizontalDpi="600" verticalDpi="600" orientation="landscape" pageOrder="overThenDown" paperSize="17" scale="90" r:id="rId1"/>
  <rowBreaks count="1" manualBreakCount="1">
    <brk id="37"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AE105"/>
  <sheetViews>
    <sheetView zoomScale="70" zoomScaleNormal="7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I53" sqref="I53"/>
    </sheetView>
  </sheetViews>
  <sheetFormatPr defaultColWidth="8.88671875" defaultRowHeight="15"/>
  <cols>
    <col min="1" max="1" width="24.5546875" style="0" bestFit="1" customWidth="1"/>
    <col min="2" max="2" width="14.21484375" style="0" bestFit="1" customWidth="1"/>
    <col min="3" max="3" width="12.3359375" style="0" customWidth="1"/>
    <col min="4" max="4" width="12.4453125" style="0" bestFit="1" customWidth="1"/>
    <col min="5" max="5" width="13.4453125" style="0" bestFit="1" customWidth="1"/>
    <col min="6" max="6" width="13.10546875" style="0" customWidth="1"/>
    <col min="7" max="7" width="12.4453125" style="0" bestFit="1" customWidth="1"/>
    <col min="8" max="8" width="13.4453125" style="0" bestFit="1" customWidth="1"/>
    <col min="9" max="9" width="15.77734375" style="0" bestFit="1" customWidth="1"/>
    <col min="10" max="10" width="15.99609375" style="0" bestFit="1" customWidth="1"/>
    <col min="11" max="11" width="17.10546875" style="0" customWidth="1"/>
    <col min="12" max="12" width="12.3359375" style="0" bestFit="1" customWidth="1"/>
    <col min="13" max="13" width="13.5546875" style="0" bestFit="1" customWidth="1"/>
    <col min="14" max="14" width="12.3359375" style="0" bestFit="1" customWidth="1"/>
    <col min="15" max="15" width="8.21484375" style="0" bestFit="1" customWidth="1"/>
    <col min="16" max="16" width="11.4453125" style="0" bestFit="1" customWidth="1"/>
    <col min="17" max="17" width="12.4453125" style="0" bestFit="1" customWidth="1"/>
    <col min="18" max="18" width="8.21484375" style="0" bestFit="1" customWidth="1"/>
    <col min="19" max="19" width="11.4453125" style="0" bestFit="1" customWidth="1"/>
    <col min="20" max="20" width="12.4453125" style="0" bestFit="1" customWidth="1"/>
    <col min="21" max="21" width="8.21484375" style="0" bestFit="1" customWidth="1"/>
    <col min="22" max="22" width="12.4453125" style="0" bestFit="1" customWidth="1"/>
    <col min="23" max="23" width="13.5546875" style="0" bestFit="1" customWidth="1"/>
    <col min="24" max="24" width="8.21484375" style="0" bestFit="1" customWidth="1"/>
    <col min="25" max="25" width="13.5546875" style="0" bestFit="1" customWidth="1"/>
    <col min="26" max="26" width="9.99609375" style="0" bestFit="1" customWidth="1"/>
    <col min="27" max="27" width="8.21484375" style="0" bestFit="1" customWidth="1"/>
    <col min="28" max="28" width="9.99609375" style="0" bestFit="1" customWidth="1"/>
    <col min="29" max="29" width="14.99609375" style="0" bestFit="1" customWidth="1"/>
    <col min="30" max="30" width="11.21484375" style="0" bestFit="1" customWidth="1"/>
    <col min="31" max="31" width="14.99609375" style="0" bestFit="1" customWidth="1"/>
    <col min="32" max="32" width="10.99609375" style="0" bestFit="1" customWidth="1"/>
    <col min="33" max="33" width="6.5546875" style="0" bestFit="1" customWidth="1"/>
    <col min="34" max="34" width="10.88671875" style="0" bestFit="1" customWidth="1"/>
    <col min="35" max="35" width="9.4453125" style="0" bestFit="1" customWidth="1"/>
    <col min="36" max="36" width="10.99609375" style="0" bestFit="1" customWidth="1"/>
    <col min="37" max="37" width="6.5546875" style="0" bestFit="1" customWidth="1"/>
    <col min="38" max="38" width="12.3359375" style="0" bestFit="1" customWidth="1"/>
    <col min="39" max="39" width="9.4453125" style="0" bestFit="1" customWidth="1"/>
    <col min="40" max="40" width="10.99609375" style="0" bestFit="1" customWidth="1"/>
    <col min="41" max="41" width="7.5546875" style="0" bestFit="1" customWidth="1"/>
    <col min="42" max="42" width="12.3359375" style="0" customWidth="1"/>
    <col min="43" max="43" width="9.4453125" style="0" bestFit="1" customWidth="1"/>
    <col min="44" max="44" width="7.5546875" style="0" bestFit="1" customWidth="1"/>
    <col min="45" max="45" width="7.5546875" style="0" customWidth="1"/>
    <col min="46" max="46" width="9.77734375" style="0" bestFit="1" customWidth="1"/>
    <col min="47" max="47" width="8.88671875" style="0" bestFit="1" customWidth="1"/>
    <col min="48" max="48" width="9.4453125" style="0" bestFit="1" customWidth="1"/>
    <col min="49" max="49" width="11.99609375" style="0" bestFit="1" customWidth="1"/>
    <col min="50" max="50" width="7.5546875" style="0" bestFit="1" customWidth="1"/>
    <col min="51" max="51" width="13.4453125" style="0" bestFit="1" customWidth="1"/>
  </cols>
  <sheetData>
    <row r="1" ht="20.25">
      <c r="A1" s="49" t="s">
        <v>82</v>
      </c>
    </row>
    <row r="3" spans="1:9" ht="18">
      <c r="A3" s="48" t="s">
        <v>124</v>
      </c>
      <c r="F3" s="80" t="s">
        <v>125</v>
      </c>
      <c r="H3" s="70" t="s">
        <v>128</v>
      </c>
      <c r="I3" s="70" t="s">
        <v>129</v>
      </c>
    </row>
    <row r="4" spans="1:10" ht="15">
      <c r="A4" t="s">
        <v>75</v>
      </c>
      <c r="B4" s="42">
        <v>1053.03</v>
      </c>
      <c r="C4" s="42"/>
      <c r="D4" s="42"/>
      <c r="E4" s="42"/>
      <c r="F4" t="s">
        <v>126</v>
      </c>
      <c r="H4">
        <v>26.096</v>
      </c>
      <c r="I4" s="79" t="s">
        <v>130</v>
      </c>
      <c r="J4" s="4">
        <f>G75</f>
        <v>4.499874514637668</v>
      </c>
    </row>
    <row r="5" spans="1:9" ht="15">
      <c r="A5" t="s">
        <v>108</v>
      </c>
      <c r="B5">
        <v>9.959</v>
      </c>
      <c r="F5" t="s">
        <v>127</v>
      </c>
      <c r="H5">
        <v>20</v>
      </c>
      <c r="I5" s="244" t="s">
        <v>130</v>
      </c>
    </row>
    <row r="6" spans="1:9" ht="15">
      <c r="A6" t="s">
        <v>109</v>
      </c>
      <c r="B6">
        <v>5.27</v>
      </c>
      <c r="F6" t="s">
        <v>179</v>
      </c>
      <c r="H6">
        <v>60</v>
      </c>
      <c r="I6" s="79" t="s">
        <v>130</v>
      </c>
    </row>
    <row r="7" spans="1:2" ht="15">
      <c r="A7" t="s">
        <v>88</v>
      </c>
      <c r="B7" s="175">
        <v>0.0228</v>
      </c>
    </row>
    <row r="8" spans="1:7" ht="15">
      <c r="A8" t="s">
        <v>122</v>
      </c>
      <c r="F8" s="3"/>
      <c r="G8" s="73"/>
    </row>
    <row r="9" spans="1:10" ht="31.5">
      <c r="A9" s="75" t="s">
        <v>123</v>
      </c>
      <c r="B9" s="76" t="s">
        <v>121</v>
      </c>
      <c r="C9" s="76" t="s">
        <v>76</v>
      </c>
      <c r="D9" s="77" t="s">
        <v>77</v>
      </c>
      <c r="E9" s="57"/>
      <c r="G9" s="57"/>
      <c r="H9" s="57"/>
      <c r="I9" s="57"/>
      <c r="J9" s="57"/>
    </row>
    <row r="10" spans="1:10" ht="15">
      <c r="A10" s="58" t="s">
        <v>78</v>
      </c>
      <c r="B10" s="59">
        <v>0.1</v>
      </c>
      <c r="C10" s="59">
        <v>0</v>
      </c>
      <c r="D10" s="60">
        <v>5.27</v>
      </c>
      <c r="E10" s="59"/>
      <c r="G10" s="60"/>
      <c r="H10" s="60"/>
      <c r="I10" s="60"/>
      <c r="J10" s="60"/>
    </row>
    <row r="11" spans="1:10" ht="15">
      <c r="A11" s="58" t="s">
        <v>79</v>
      </c>
      <c r="B11" s="59">
        <v>0.2</v>
      </c>
      <c r="C11" s="59">
        <v>0.1</v>
      </c>
      <c r="D11" s="60">
        <f>ROUND((1-C11)*$D$10,3)</f>
        <v>4.743</v>
      </c>
      <c r="E11" s="60"/>
      <c r="G11" s="60"/>
      <c r="H11" s="60"/>
      <c r="I11" s="60"/>
      <c r="J11" s="60"/>
    </row>
    <row r="12" spans="1:10" ht="25.5">
      <c r="A12" s="61" t="s">
        <v>80</v>
      </c>
      <c r="B12" s="59">
        <v>0.3</v>
      </c>
      <c r="C12" s="59">
        <v>0.25</v>
      </c>
      <c r="D12" s="60">
        <f>ROUND((1-C12)*$D$10,3)</f>
        <v>3.953</v>
      </c>
      <c r="E12" s="60"/>
      <c r="G12" s="60"/>
      <c r="H12" s="60"/>
      <c r="I12" s="60"/>
      <c r="J12" s="60"/>
    </row>
    <row r="13" spans="1:10" ht="25.5">
      <c r="A13" s="61" t="s">
        <v>81</v>
      </c>
      <c r="B13" s="59"/>
      <c r="C13" s="59">
        <v>0.5</v>
      </c>
      <c r="D13" s="60">
        <f>ROUND((1-C13)*$D$10,3)</f>
        <v>2.635</v>
      </c>
      <c r="E13" s="60"/>
      <c r="G13" s="60"/>
      <c r="H13" s="60"/>
      <c r="I13" s="60"/>
      <c r="J13" s="60"/>
    </row>
    <row r="14" ht="15">
      <c r="B14" s="9"/>
    </row>
    <row r="15" spans="1:7" ht="18">
      <c r="A15" s="48" t="s">
        <v>90</v>
      </c>
      <c r="G15" s="37"/>
    </row>
    <row r="16" ht="15">
      <c r="G16" s="37"/>
    </row>
    <row r="17" spans="1:7" ht="15.75">
      <c r="A17" s="6" t="s">
        <v>202</v>
      </c>
      <c r="G17" s="37"/>
    </row>
    <row r="18" spans="1:7" ht="15.75">
      <c r="A18" s="6"/>
      <c r="G18" s="37"/>
    </row>
    <row r="19" spans="2:31" ht="45" customHeight="1">
      <c r="B19" s="285" t="s">
        <v>0</v>
      </c>
      <c r="C19" s="286"/>
      <c r="D19" s="287"/>
      <c r="E19" s="285" t="s">
        <v>92</v>
      </c>
      <c r="F19" s="286"/>
      <c r="G19" s="287"/>
      <c r="H19" s="285" t="s">
        <v>1</v>
      </c>
      <c r="I19" s="286"/>
      <c r="J19" s="287"/>
      <c r="K19" s="285" t="s">
        <v>17</v>
      </c>
      <c r="L19" s="286"/>
      <c r="M19" s="287"/>
      <c r="N19" s="285" t="s">
        <v>36</v>
      </c>
      <c r="O19" s="286"/>
      <c r="P19" s="287"/>
      <c r="Q19" s="285" t="s">
        <v>37</v>
      </c>
      <c r="R19" s="286"/>
      <c r="S19" s="287"/>
      <c r="T19" s="285" t="s">
        <v>38</v>
      </c>
      <c r="U19" s="286"/>
      <c r="V19" s="287"/>
      <c r="W19" s="285" t="s">
        <v>201</v>
      </c>
      <c r="X19" s="286"/>
      <c r="Y19" s="287"/>
      <c r="Z19" s="285" t="s">
        <v>2</v>
      </c>
      <c r="AA19" s="286"/>
      <c r="AB19" s="287"/>
      <c r="AC19" s="285" t="s">
        <v>24</v>
      </c>
      <c r="AD19" s="286"/>
      <c r="AE19" s="287"/>
    </row>
    <row r="20" spans="2:31" ht="15">
      <c r="B20" s="12" t="s">
        <v>91</v>
      </c>
      <c r="C20" s="13"/>
      <c r="D20" s="14" t="s">
        <v>93</v>
      </c>
      <c r="E20" s="12" t="s">
        <v>91</v>
      </c>
      <c r="F20" s="13"/>
      <c r="G20" s="14" t="s">
        <v>93</v>
      </c>
      <c r="H20" s="12" t="s">
        <v>91</v>
      </c>
      <c r="I20" s="13"/>
      <c r="J20" s="14" t="s">
        <v>93</v>
      </c>
      <c r="K20" s="12" t="s">
        <v>91</v>
      </c>
      <c r="L20" s="13"/>
      <c r="M20" s="14" t="s">
        <v>93</v>
      </c>
      <c r="N20" s="12" t="s">
        <v>91</v>
      </c>
      <c r="O20" s="13"/>
      <c r="P20" s="14" t="s">
        <v>93</v>
      </c>
      <c r="Q20" s="12" t="s">
        <v>91</v>
      </c>
      <c r="R20" s="13"/>
      <c r="S20" s="14" t="s">
        <v>93</v>
      </c>
      <c r="T20" s="12" t="s">
        <v>91</v>
      </c>
      <c r="U20" s="13"/>
      <c r="V20" s="14" t="s">
        <v>93</v>
      </c>
      <c r="W20" s="12" t="s">
        <v>91</v>
      </c>
      <c r="X20" s="13"/>
      <c r="Y20" s="14" t="s">
        <v>93</v>
      </c>
      <c r="Z20" s="12" t="s">
        <v>91</v>
      </c>
      <c r="AA20" s="13"/>
      <c r="AB20" s="14" t="s">
        <v>93</v>
      </c>
      <c r="AC20" s="12" t="s">
        <v>91</v>
      </c>
      <c r="AD20" s="13"/>
      <c r="AE20" s="14" t="s">
        <v>93</v>
      </c>
    </row>
    <row r="21" spans="2:31" ht="15">
      <c r="B21" s="12" t="s">
        <v>29</v>
      </c>
      <c r="C21" s="13" t="s">
        <v>110</v>
      </c>
      <c r="D21" s="14" t="s">
        <v>29</v>
      </c>
      <c r="E21" s="12" t="s">
        <v>29</v>
      </c>
      <c r="F21" s="13" t="s">
        <v>110</v>
      </c>
      <c r="G21" s="14" t="s">
        <v>29</v>
      </c>
      <c r="H21" s="12" t="s">
        <v>29</v>
      </c>
      <c r="I21" s="13" t="s">
        <v>110</v>
      </c>
      <c r="J21" s="14" t="s">
        <v>29</v>
      </c>
      <c r="K21" s="12" t="s">
        <v>29</v>
      </c>
      <c r="L21" s="13" t="s">
        <v>110</v>
      </c>
      <c r="M21" s="14" t="s">
        <v>29</v>
      </c>
      <c r="N21" s="12" t="s">
        <v>29</v>
      </c>
      <c r="O21" s="13" t="s">
        <v>110</v>
      </c>
      <c r="P21" s="14" t="s">
        <v>29</v>
      </c>
      <c r="Q21" s="12" t="s">
        <v>29</v>
      </c>
      <c r="R21" s="13" t="s">
        <v>110</v>
      </c>
      <c r="S21" s="14" t="s">
        <v>29</v>
      </c>
      <c r="T21" s="12" t="s">
        <v>29</v>
      </c>
      <c r="U21" s="13" t="s">
        <v>110</v>
      </c>
      <c r="V21" s="14" t="s">
        <v>29</v>
      </c>
      <c r="W21" s="12" t="s">
        <v>29</v>
      </c>
      <c r="X21" s="13" t="s">
        <v>110</v>
      </c>
      <c r="Y21" s="14" t="s">
        <v>29</v>
      </c>
      <c r="Z21" s="12" t="s">
        <v>29</v>
      </c>
      <c r="AA21" s="13" t="s">
        <v>110</v>
      </c>
      <c r="AB21" s="14" t="s">
        <v>29</v>
      </c>
      <c r="AC21" s="12" t="s">
        <v>29</v>
      </c>
      <c r="AD21" s="13" t="s">
        <v>110</v>
      </c>
      <c r="AE21" s="14" t="s">
        <v>29</v>
      </c>
    </row>
    <row r="22" spans="1:31" ht="15" customHeight="1" hidden="1">
      <c r="A22" t="s">
        <v>94</v>
      </c>
      <c r="B22" s="12">
        <v>0.9</v>
      </c>
      <c r="C22" s="13"/>
      <c r="D22" s="14"/>
      <c r="E22" s="12">
        <v>0.9</v>
      </c>
      <c r="F22" s="13"/>
      <c r="G22" s="14"/>
      <c r="H22" s="12">
        <v>0.9</v>
      </c>
      <c r="I22" s="13"/>
      <c r="J22" s="14"/>
      <c r="K22" s="12">
        <v>0.9</v>
      </c>
      <c r="L22" s="13"/>
      <c r="M22" s="14"/>
      <c r="N22" s="12">
        <v>0.95</v>
      </c>
      <c r="O22" s="13"/>
      <c r="P22" s="14"/>
      <c r="Q22" s="12">
        <v>0.95</v>
      </c>
      <c r="R22" s="13"/>
      <c r="S22" s="14"/>
      <c r="T22" s="12">
        <v>0.95</v>
      </c>
      <c r="U22" s="13"/>
      <c r="V22" s="14"/>
      <c r="W22" s="12">
        <v>0.95</v>
      </c>
      <c r="X22" s="13"/>
      <c r="Y22" s="14"/>
      <c r="Z22" s="12">
        <v>0.9</v>
      </c>
      <c r="AA22" s="13"/>
      <c r="AB22" s="14"/>
      <c r="AC22" s="12"/>
      <c r="AD22" s="13"/>
      <c r="AE22" s="14"/>
    </row>
    <row r="23" spans="2:31" ht="15">
      <c r="B23" s="12"/>
      <c r="C23" s="13"/>
      <c r="D23" s="14"/>
      <c r="E23" s="12"/>
      <c r="F23" s="13"/>
      <c r="G23" s="14"/>
      <c r="H23" s="12"/>
      <c r="I23" s="13"/>
      <c r="J23" s="14"/>
      <c r="K23" s="12"/>
      <c r="L23" s="13"/>
      <c r="M23" s="14"/>
      <c r="N23" s="12"/>
      <c r="O23" s="13"/>
      <c r="P23" s="14"/>
      <c r="Q23" s="12"/>
      <c r="R23" s="13"/>
      <c r="S23" s="14"/>
      <c r="T23" s="12"/>
      <c r="U23" s="13"/>
      <c r="V23" s="14"/>
      <c r="W23" s="12"/>
      <c r="X23" s="13"/>
      <c r="Y23" s="14"/>
      <c r="Z23" s="12"/>
      <c r="AA23" s="13"/>
      <c r="AB23" s="14"/>
      <c r="AC23" s="12"/>
      <c r="AD23" s="13"/>
      <c r="AE23" s="14"/>
    </row>
    <row r="24" spans="1:31" ht="15">
      <c r="A24" t="s">
        <v>4</v>
      </c>
      <c r="B24" s="97">
        <f>'RtR Market DT'!C11</f>
        <v>392730.77298161516</v>
      </c>
      <c r="C24" s="45">
        <f>'COSS Losses'!B57</f>
        <v>0.07457080314173897</v>
      </c>
      <c r="D24" s="149">
        <f aca="true" t="shared" si="0" ref="D24:D35">B24*(1+C24)</f>
        <v>422017.0221413301</v>
      </c>
      <c r="E24" s="97">
        <f>'RtR Market DT'!G11</f>
        <v>33354.44673753061</v>
      </c>
      <c r="F24" s="45">
        <f>'COSS Losses'!C57</f>
        <v>0.06612549370351767</v>
      </c>
      <c r="G24" s="149">
        <f>E24*(1+F24)</f>
        <v>35560.02599525751</v>
      </c>
      <c r="H24" s="97">
        <f>'RtR Market DT'!K11</f>
        <v>369331.4394059488</v>
      </c>
      <c r="I24" s="45">
        <f>'COSS Losses'!D57</f>
        <v>0.031269792434484966</v>
      </c>
      <c r="J24" s="149">
        <f>H24*(1+I24)</f>
        <v>380880.35685570235</v>
      </c>
      <c r="K24" s="97">
        <f>'RtR Market DT'!O11</f>
        <v>1694616.7703630836</v>
      </c>
      <c r="L24" s="45">
        <f>'COSS Losses'!E57</f>
        <v>0.03449853524568952</v>
      </c>
      <c r="M24" s="149">
        <f>K24*(1+L24)</f>
        <v>1753078.5667433909</v>
      </c>
      <c r="N24" s="97">
        <f>'RtR Market DT'!S11</f>
        <v>90614.81204202496</v>
      </c>
      <c r="O24" s="45">
        <f>'COSS Losses'!F57</f>
        <v>0.02429249827843677</v>
      </c>
      <c r="P24" s="149">
        <f>N24*(1+O24)</f>
        <v>92816.07220755672</v>
      </c>
      <c r="Q24" s="97">
        <f>'RtR Market DT'!W11</f>
        <v>215331.39590230703</v>
      </c>
      <c r="R24" s="45">
        <f>'COSS Losses'!G57</f>
        <v>0.01904403785765113</v>
      </c>
      <c r="S24" s="149">
        <f>Q24*(1+R24)</f>
        <v>219432.17515781143</v>
      </c>
      <c r="T24" s="97">
        <f>'RtR Market DT'!AA11</f>
        <v>4450554.3692896925</v>
      </c>
      <c r="U24" s="45">
        <f>'COSS Losses'!H57</f>
        <v>0.01904403785765113</v>
      </c>
      <c r="V24" s="149">
        <f>T24*(1+U24)</f>
        <v>4535310.89518598</v>
      </c>
      <c r="W24" s="97">
        <v>0</v>
      </c>
      <c r="X24" s="45">
        <v>0</v>
      </c>
      <c r="Y24" s="149">
        <f>W24*(1+X24)</f>
        <v>0</v>
      </c>
      <c r="Z24" s="97">
        <f>'RtR Market DT'!AI11</f>
        <v>18143.476010309096</v>
      </c>
      <c r="AA24" s="45">
        <f>'COSS Losses'!J57</f>
        <v>0.0775550332853952</v>
      </c>
      <c r="AB24" s="149">
        <f>Z24*(1+AA24)</f>
        <v>19550.593896201386</v>
      </c>
      <c r="AC24" s="97">
        <f aca="true" t="shared" si="1" ref="AC24:AC35">B24+E24+H24+K24+N24+Q24+T24+Z24</f>
        <v>7264677.482732512</v>
      </c>
      <c r="AD24" s="45"/>
      <c r="AE24" s="149">
        <f aca="true" t="shared" si="2" ref="AE24:AE35">D24+G24+J24+M24+P24+S24+V24+Y24+AB24</f>
        <v>7458645.708183231</v>
      </c>
    </row>
    <row r="25" spans="1:31" ht="15">
      <c r="A25" t="s">
        <v>5</v>
      </c>
      <c r="B25" s="97">
        <f>'RtR Market DT'!C12</f>
        <v>553282.6663604551</v>
      </c>
      <c r="C25" s="45">
        <f>'COSS Losses'!B58</f>
        <v>0.07749302116960749</v>
      </c>
      <c r="D25" s="149">
        <f t="shared" si="0"/>
        <v>596158.2117375027</v>
      </c>
      <c r="E25" s="97">
        <f>'RtR Market DT'!G12</f>
        <v>47430.80982333463</v>
      </c>
      <c r="F25" s="45">
        <f>'COSS Losses'!C58</f>
        <v>0.06954322173059274</v>
      </c>
      <c r="G25" s="149">
        <f aca="true" t="shared" si="3" ref="G25:G35">E25*(1+F25)</f>
        <v>50729.30114774036</v>
      </c>
      <c r="H25" s="97">
        <f>'RtR Market DT'!K12</f>
        <v>444767.0703887164</v>
      </c>
      <c r="I25" s="45">
        <f>'COSS Losses'!D58</f>
        <v>0.0328040439853608</v>
      </c>
      <c r="J25" s="149">
        <f aca="true" t="shared" si="4" ref="J25:J35">H25*(1+I25)</f>
        <v>459357.2289289879</v>
      </c>
      <c r="K25" s="97">
        <f>'RtR Market DT'!O12</f>
        <v>1594582.9463509652</v>
      </c>
      <c r="L25" s="45">
        <f>'COSS Losses'!E58</f>
        <v>0.03145451553146589</v>
      </c>
      <c r="M25" s="149">
        <f aca="true" t="shared" si="5" ref="M25:M35">K25*(1+L25)</f>
        <v>1644739.7804031721</v>
      </c>
      <c r="N25" s="97">
        <f>'RtR Market DT'!S12</f>
        <v>96523.89644586919</v>
      </c>
      <c r="O25" s="45">
        <f>'COSS Losses'!F58</f>
        <v>0.027338583427115426</v>
      </c>
      <c r="P25" s="149">
        <f aca="true" t="shared" si="6" ref="P25:P35">N25*(1+O25)</f>
        <v>99162.72304156484</v>
      </c>
      <c r="Q25" s="97">
        <f>'RtR Market DT'!W12</f>
        <v>194294.75124773334</v>
      </c>
      <c r="R25" s="45">
        <f>'COSS Losses'!G58</f>
        <v>0.022546955376987976</v>
      </c>
      <c r="S25" s="149">
        <f aca="true" t="shared" si="7" ref="S25:S35">Q25*(1+R25)</f>
        <v>198675.50633409896</v>
      </c>
      <c r="T25" s="97">
        <f>'RtR Market DT'!AA12</f>
        <v>4074387.6311654053</v>
      </c>
      <c r="U25" s="45">
        <f>'COSS Losses'!H58</f>
        <v>0.022546955376987976</v>
      </c>
      <c r="V25" s="149">
        <f aca="true" t="shared" si="8" ref="V25:V35">T25*(1+U25)</f>
        <v>4166252.667273843</v>
      </c>
      <c r="W25" s="97">
        <v>0</v>
      </c>
      <c r="X25" s="45">
        <v>0</v>
      </c>
      <c r="Y25" s="149">
        <f aca="true" t="shared" si="9" ref="Y25:Y31">W25*(1+X25)</f>
        <v>0</v>
      </c>
      <c r="Z25" s="97">
        <f>'RtR Market DT'!AI12</f>
        <v>21707.70297262884</v>
      </c>
      <c r="AA25" s="45">
        <f>'COSS Losses'!J58</f>
        <v>0.07470067475706382</v>
      </c>
      <c r="AB25" s="149">
        <f aca="true" t="shared" si="10" ref="AB25:AB35">Z25*(1+AA25)</f>
        <v>23329.283032110132</v>
      </c>
      <c r="AC25" s="97">
        <f t="shared" si="1"/>
        <v>7026977.474755107</v>
      </c>
      <c r="AD25" s="45"/>
      <c r="AE25" s="149">
        <f t="shared" si="2"/>
        <v>7238404.70189902</v>
      </c>
    </row>
    <row r="26" spans="1:31" ht="15">
      <c r="A26" t="s">
        <v>6</v>
      </c>
      <c r="B26" s="97">
        <f>'RtR Market DT'!C13</f>
        <v>787190.3369082442</v>
      </c>
      <c r="C26" s="45">
        <f>'COSS Losses'!B59</f>
        <v>0.07101630182345203</v>
      </c>
      <c r="D26" s="149">
        <f t="shared" si="0"/>
        <v>843093.6834666249</v>
      </c>
      <c r="E26" s="97">
        <f>'RtR Market DT'!G13</f>
        <v>75707.55847933832</v>
      </c>
      <c r="F26" s="45">
        <f>'COSS Losses'!C59</f>
        <v>0.06945664361880027</v>
      </c>
      <c r="G26" s="149">
        <f t="shared" si="3"/>
        <v>80965.9513878872</v>
      </c>
      <c r="H26" s="97">
        <f>'RtR Market DT'!K13</f>
        <v>717597.7444509087</v>
      </c>
      <c r="I26" s="45">
        <f>'COSS Losses'!D59</f>
        <v>0.03696891145944764</v>
      </c>
      <c r="J26" s="149">
        <f t="shared" si="4"/>
        <v>744126.5519290137</v>
      </c>
      <c r="K26" s="97">
        <f>'RtR Market DT'!O13</f>
        <v>1662281.5163261387</v>
      </c>
      <c r="L26" s="45">
        <f>'COSS Losses'!E59</f>
        <v>0.03594896058144831</v>
      </c>
      <c r="M26" s="149">
        <f t="shared" si="5"/>
        <v>1722038.8090318171</v>
      </c>
      <c r="N26" s="97">
        <f>'RtR Market DT'!S13</f>
        <v>96810.54379038594</v>
      </c>
      <c r="O26" s="45">
        <f>'COSS Losses'!F59</f>
        <v>0.03322616872808265</v>
      </c>
      <c r="P26" s="149">
        <f t="shared" si="6"/>
        <v>100027.18725302274</v>
      </c>
      <c r="Q26" s="97">
        <f>'RtR Market DT'!W13</f>
        <v>414691.47910392925</v>
      </c>
      <c r="R26" s="45">
        <f>'COSS Losses'!G59</f>
        <v>0.026859580356426715</v>
      </c>
      <c r="S26" s="149">
        <f t="shared" si="7"/>
        <v>425829.91821004666</v>
      </c>
      <c r="T26" s="97">
        <f>'RtR Market DT'!AA13</f>
        <v>4282104.908195619</v>
      </c>
      <c r="U26" s="45">
        <f>'COSS Losses'!H59</f>
        <v>0.026859580356426715</v>
      </c>
      <c r="V26" s="149">
        <f t="shared" si="8"/>
        <v>4397120.4490719475</v>
      </c>
      <c r="W26" s="97">
        <v>0</v>
      </c>
      <c r="X26" s="45">
        <v>0</v>
      </c>
      <c r="Y26" s="149">
        <f t="shared" si="9"/>
        <v>0</v>
      </c>
      <c r="Z26" s="97">
        <f>'RtR Market DT'!AI13</f>
        <v>25945.60216684888</v>
      </c>
      <c r="AA26" s="45">
        <f>'COSS Losses'!J59</f>
        <v>0.06872141634072021</v>
      </c>
      <c r="AB26" s="149">
        <f t="shared" si="10"/>
        <v>27728.62069556759</v>
      </c>
      <c r="AC26" s="97">
        <f t="shared" si="1"/>
        <v>8062329.689421413</v>
      </c>
      <c r="AD26" s="45"/>
      <c r="AE26" s="149">
        <f t="shared" si="2"/>
        <v>8340931.171045928</v>
      </c>
    </row>
    <row r="27" spans="1:31" ht="15">
      <c r="A27" t="s">
        <v>7</v>
      </c>
      <c r="B27" s="97">
        <f>'RtR Market DT'!C14</f>
        <v>778591.8684168799</v>
      </c>
      <c r="C27" s="45">
        <f>'COSS Losses'!B60</f>
        <v>0.0593277959189909</v>
      </c>
      <c r="D27" s="149">
        <f t="shared" si="0"/>
        <v>824784.0078905023</v>
      </c>
      <c r="E27" s="97">
        <f>'RtR Market DT'!G14</f>
        <v>73840.64276354613</v>
      </c>
      <c r="F27" s="45">
        <f>'COSS Losses'!C60</f>
        <v>0.060644974831356724</v>
      </c>
      <c r="G27" s="149">
        <f t="shared" si="3"/>
        <v>78318.70668547259</v>
      </c>
      <c r="H27" s="97">
        <f>'RtR Market DT'!K14</f>
        <v>847948.0768993164</v>
      </c>
      <c r="I27" s="45">
        <f>'COSS Losses'!D60</f>
        <v>0.029094504104798358</v>
      </c>
      <c r="J27" s="149">
        <f t="shared" si="4"/>
        <v>872618.7057033194</v>
      </c>
      <c r="K27" s="97">
        <f>'RtR Market DT'!O14</f>
        <v>1525841.5368086929</v>
      </c>
      <c r="L27" s="45">
        <f>'COSS Losses'!E60</f>
        <v>0.030295141619409993</v>
      </c>
      <c r="M27" s="149">
        <f t="shared" si="5"/>
        <v>1572067.1222550904</v>
      </c>
      <c r="N27" s="97">
        <f>'RtR Market DT'!S14</f>
        <v>101597.51650013571</v>
      </c>
      <c r="O27" s="45">
        <f>'COSS Losses'!F60</f>
        <v>0.027382806524612502</v>
      </c>
      <c r="P27" s="149">
        <f t="shared" si="6"/>
        <v>104379.54163784004</v>
      </c>
      <c r="Q27" s="97">
        <f>'RtR Market DT'!W14</f>
        <v>413254.50602385565</v>
      </c>
      <c r="R27" s="45">
        <f>'COSS Losses'!G60</f>
        <v>0.023374240107438216</v>
      </c>
      <c r="S27" s="149">
        <f t="shared" si="7"/>
        <v>422914.016073138</v>
      </c>
      <c r="T27" s="97">
        <f>'RtR Market DT'!AA14</f>
        <v>4284239.4835496135</v>
      </c>
      <c r="U27" s="45">
        <f>'COSS Losses'!H60</f>
        <v>0.023374240107438216</v>
      </c>
      <c r="V27" s="149">
        <f t="shared" si="8"/>
        <v>4384380.325915869</v>
      </c>
      <c r="W27" s="97">
        <v>0</v>
      </c>
      <c r="X27" s="45">
        <v>0</v>
      </c>
      <c r="Y27" s="149">
        <f t="shared" si="9"/>
        <v>0</v>
      </c>
      <c r="Z27" s="97">
        <f>'RtR Market DT'!AI14</f>
        <v>32893.836640364374</v>
      </c>
      <c r="AA27" s="45">
        <f>'COSS Losses'!J60</f>
        <v>0.06362241432032972</v>
      </c>
      <c r="AB27" s="149">
        <f t="shared" si="10"/>
        <v>34986.621943682876</v>
      </c>
      <c r="AC27" s="97">
        <f t="shared" si="1"/>
        <v>8058207.467602405</v>
      </c>
      <c r="AD27" s="45"/>
      <c r="AE27" s="149">
        <f t="shared" si="2"/>
        <v>8294449.048104915</v>
      </c>
    </row>
    <row r="28" spans="1:31" ht="15">
      <c r="A28" t="s">
        <v>8</v>
      </c>
      <c r="B28" s="97">
        <f>'RtR Market DT'!C15</f>
        <v>830809.8103142233</v>
      </c>
      <c r="C28" s="45">
        <f>'COSS Losses'!B61</f>
        <v>0.05928874340779183</v>
      </c>
      <c r="D28" s="149">
        <f t="shared" si="0"/>
        <v>880067.4799786194</v>
      </c>
      <c r="E28" s="97">
        <f>'RtR Market DT'!G15</f>
        <v>72810.14201862468</v>
      </c>
      <c r="F28" s="45">
        <f>'COSS Losses'!C61</f>
        <v>0.06143535688380647</v>
      </c>
      <c r="G28" s="149">
        <f t="shared" si="3"/>
        <v>77283.25907829952</v>
      </c>
      <c r="H28" s="97">
        <f>'RtR Market DT'!K15</f>
        <v>936314.5771760651</v>
      </c>
      <c r="I28" s="45">
        <f>'COSS Losses'!D61</f>
        <v>0.032982761703150676</v>
      </c>
      <c r="J28" s="149">
        <f t="shared" si="4"/>
        <v>967196.8177542494</v>
      </c>
      <c r="K28" s="97">
        <f>'RtR Market DT'!O15</f>
        <v>1597393.9420136907</v>
      </c>
      <c r="L28" s="45">
        <f>'COSS Losses'!E61</f>
        <v>0.03402402847180813</v>
      </c>
      <c r="M28" s="149">
        <f t="shared" si="5"/>
        <v>1651743.7189774583</v>
      </c>
      <c r="N28" s="97">
        <f>'RtR Market DT'!S15</f>
        <v>121016.30670982107</v>
      </c>
      <c r="O28" s="45">
        <f>'COSS Losses'!F61</f>
        <v>0.030881165199615312</v>
      </c>
      <c r="P28" s="149">
        <f t="shared" si="6"/>
        <v>124753.43126917437</v>
      </c>
      <c r="Q28" s="97">
        <f>'RtR Market DT'!W15</f>
        <v>408340.9696577505</v>
      </c>
      <c r="R28" s="45">
        <f>'COSS Losses'!G61</f>
        <v>0.029584720777533102</v>
      </c>
      <c r="S28" s="149">
        <f t="shared" si="7"/>
        <v>420421.62322710216</v>
      </c>
      <c r="T28" s="97">
        <f>'RtR Market DT'!AA15</f>
        <v>4595659.856178817</v>
      </c>
      <c r="U28" s="45">
        <f>'COSS Losses'!H61</f>
        <v>0.029584720777533102</v>
      </c>
      <c r="V28" s="149">
        <f t="shared" si="8"/>
        <v>4731621.169812385</v>
      </c>
      <c r="W28" s="97">
        <v>0</v>
      </c>
      <c r="X28" s="45">
        <v>0</v>
      </c>
      <c r="Y28" s="149">
        <f t="shared" si="9"/>
        <v>0</v>
      </c>
      <c r="Z28" s="97">
        <f>'RtR Market DT'!AI15</f>
        <v>34382.9733248851</v>
      </c>
      <c r="AA28" s="45">
        <f>'COSS Losses'!J61</f>
        <v>0.07530102978263092</v>
      </c>
      <c r="AB28" s="149">
        <f t="shared" si="10"/>
        <v>36972.04662323767</v>
      </c>
      <c r="AC28" s="97">
        <f t="shared" si="1"/>
        <v>8596728.577393878</v>
      </c>
      <c r="AD28" s="45"/>
      <c r="AE28" s="149">
        <f t="shared" si="2"/>
        <v>8890059.546720525</v>
      </c>
    </row>
    <row r="29" spans="1:31" ht="15">
      <c r="A29" t="s">
        <v>9</v>
      </c>
      <c r="B29" s="97">
        <f>'RtR Market DT'!C16</f>
        <v>788235.180691279</v>
      </c>
      <c r="C29" s="45">
        <f>'COSS Losses'!B62</f>
        <v>0.0412644080010674</v>
      </c>
      <c r="D29" s="149">
        <f t="shared" si="0"/>
        <v>820761.2387881189</v>
      </c>
      <c r="E29" s="97">
        <f>'RtR Market DT'!G16</f>
        <v>79140.64854467854</v>
      </c>
      <c r="F29" s="45">
        <f>'COSS Losses'!C62</f>
        <v>0.041227506023815697</v>
      </c>
      <c r="G29" s="149">
        <f t="shared" si="3"/>
        <v>82403.42010928295</v>
      </c>
      <c r="H29" s="97">
        <f>'RtR Market DT'!K16</f>
        <v>998132.829593567</v>
      </c>
      <c r="I29" s="45">
        <f>'COSS Losses'!D62</f>
        <v>0.02502298851798007</v>
      </c>
      <c r="J29" s="149">
        <f t="shared" si="4"/>
        <v>1023109.0959279056</v>
      </c>
      <c r="K29" s="97">
        <f>'RtR Market DT'!O16</f>
        <v>1587303.3935721014</v>
      </c>
      <c r="L29" s="45">
        <f>'COSS Losses'!E62</f>
        <v>0.021155912630447526</v>
      </c>
      <c r="M29" s="149">
        <f t="shared" si="5"/>
        <v>1620884.2454845256</v>
      </c>
      <c r="N29" s="97">
        <f>'RtR Market DT'!S16</f>
        <v>126333.06405305168</v>
      </c>
      <c r="O29" s="45">
        <f>'COSS Losses'!F62</f>
        <v>0.019245825210967793</v>
      </c>
      <c r="P29" s="149">
        <f t="shared" si="6"/>
        <v>128764.4481221827</v>
      </c>
      <c r="Q29" s="97">
        <f>'RtR Market DT'!W16</f>
        <v>427488.58701600635</v>
      </c>
      <c r="R29" s="45">
        <f>'COSS Losses'!G62</f>
        <v>0.018264612357945798</v>
      </c>
      <c r="S29" s="149">
        <f t="shared" si="7"/>
        <v>435296.50034529966</v>
      </c>
      <c r="T29" s="97">
        <f>'RtR Market DT'!AA16</f>
        <v>4427328.744365387</v>
      </c>
      <c r="U29" s="45">
        <f>'COSS Losses'!H62</f>
        <v>0.018264612357945798</v>
      </c>
      <c r="V29" s="149">
        <f t="shared" si="8"/>
        <v>4508192.1876624115</v>
      </c>
      <c r="W29" s="97">
        <v>0</v>
      </c>
      <c r="X29" s="45">
        <v>0</v>
      </c>
      <c r="Y29" s="149">
        <f t="shared" si="9"/>
        <v>0</v>
      </c>
      <c r="Z29" s="97">
        <f>'RtR Market DT'!AI16</f>
        <v>38426.16277163157</v>
      </c>
      <c r="AA29" s="45">
        <f>'COSS Losses'!J62</f>
        <v>0.07169624110980793</v>
      </c>
      <c r="AB29" s="149">
        <f t="shared" si="10"/>
        <v>41181.17420263119</v>
      </c>
      <c r="AC29" s="97">
        <f t="shared" si="1"/>
        <v>8472388.610607702</v>
      </c>
      <c r="AD29" s="45"/>
      <c r="AE29" s="149">
        <f t="shared" si="2"/>
        <v>8660592.310642358</v>
      </c>
    </row>
    <row r="30" spans="1:31" ht="15">
      <c r="A30" t="s">
        <v>10</v>
      </c>
      <c r="B30" s="97">
        <f>'RtR Market DT'!C17</f>
        <v>947299.0643179353</v>
      </c>
      <c r="C30" s="45">
        <f>'COSS Losses'!B63</f>
        <v>0.04132548733629343</v>
      </c>
      <c r="D30" s="149">
        <f t="shared" si="0"/>
        <v>986446.6598040886</v>
      </c>
      <c r="E30" s="97">
        <f>'RtR Market DT'!G17</f>
        <v>85890.7522296117</v>
      </c>
      <c r="F30" s="45">
        <f>'COSS Losses'!C63</f>
        <v>0.044975667221355764</v>
      </c>
      <c r="G30" s="149">
        <f t="shared" si="3"/>
        <v>89753.74611928263</v>
      </c>
      <c r="H30" s="97">
        <f>'RtR Market DT'!K17</f>
        <v>1237511.2836163528</v>
      </c>
      <c r="I30" s="45">
        <f>'COSS Losses'!D63</f>
        <v>0.027068698717093442</v>
      </c>
      <c r="J30" s="149">
        <f t="shared" si="4"/>
        <v>1271009.1037115674</v>
      </c>
      <c r="K30" s="97">
        <f>'RtR Market DT'!O17</f>
        <v>1841757.8001497153</v>
      </c>
      <c r="L30" s="45">
        <f>'COSS Losses'!E63</f>
        <v>0.02677981594730544</v>
      </c>
      <c r="M30" s="149">
        <f t="shared" si="5"/>
        <v>1891079.7350572387</v>
      </c>
      <c r="N30" s="97">
        <f>'RtR Market DT'!S17</f>
        <v>167933.643903586</v>
      </c>
      <c r="O30" s="45">
        <f>'COSS Losses'!F63</f>
        <v>0.018527107355736983</v>
      </c>
      <c r="P30" s="149">
        <f t="shared" si="6"/>
        <v>171044.96855282784</v>
      </c>
      <c r="Q30" s="97">
        <f>'RtR Market DT'!W17</f>
        <v>427095.76191835065</v>
      </c>
      <c r="R30" s="45">
        <f>'COSS Losses'!G63</f>
        <v>0.017272777809459516</v>
      </c>
      <c r="S30" s="149">
        <f t="shared" si="7"/>
        <v>434472.8921173281</v>
      </c>
      <c r="T30" s="97">
        <f>'RtR Market DT'!AA17</f>
        <v>4822681.866472571</v>
      </c>
      <c r="U30" s="45">
        <f>'COSS Losses'!H63</f>
        <v>0.017272777809459516</v>
      </c>
      <c r="V30" s="149">
        <f t="shared" si="8"/>
        <v>4905982.978797861</v>
      </c>
      <c r="W30" s="97">
        <v>0</v>
      </c>
      <c r="X30" s="45">
        <v>0</v>
      </c>
      <c r="Y30" s="149">
        <f t="shared" si="9"/>
        <v>0</v>
      </c>
      <c r="Z30" s="97">
        <f>'RtR Market DT'!AI17</f>
        <v>45474.377672319286</v>
      </c>
      <c r="AA30" s="45">
        <f>'COSS Losses'!J63</f>
        <v>0.07281625950156007</v>
      </c>
      <c r="AB30" s="149">
        <f t="shared" si="10"/>
        <v>48785.65175757883</v>
      </c>
      <c r="AC30" s="97">
        <f t="shared" si="1"/>
        <v>9575644.55028044</v>
      </c>
      <c r="AD30" s="45"/>
      <c r="AE30" s="149">
        <f t="shared" si="2"/>
        <v>9798575.735917773</v>
      </c>
    </row>
    <row r="31" spans="1:31" ht="15">
      <c r="A31" t="s">
        <v>11</v>
      </c>
      <c r="B31" s="97">
        <f>'RtR Market DT'!C18</f>
        <v>1034024.5985820626</v>
      </c>
      <c r="C31" s="45">
        <f>'COSS Losses'!B64</f>
        <v>0.05142211200266905</v>
      </c>
      <c r="D31" s="149">
        <f t="shared" si="0"/>
        <v>1087196.3273038643</v>
      </c>
      <c r="E31" s="97">
        <f>'RtR Market DT'!G18</f>
        <v>95910.91215205412</v>
      </c>
      <c r="F31" s="45">
        <f>'COSS Losses'!C64</f>
        <v>0.05783592374234009</v>
      </c>
      <c r="G31" s="149">
        <f t="shared" si="3"/>
        <v>101458.0083533386</v>
      </c>
      <c r="H31" s="97">
        <f>'RtR Market DT'!K18</f>
        <v>1254560.7953137045</v>
      </c>
      <c r="I31" s="45">
        <f>'COSS Losses'!D64</f>
        <v>0.03322159548793052</v>
      </c>
      <c r="J31" s="149">
        <f t="shared" si="4"/>
        <v>1296239.3065706328</v>
      </c>
      <c r="K31" s="97">
        <f>'RtR Market DT'!O18</f>
        <v>1861861.7233154532</v>
      </c>
      <c r="L31" s="45">
        <f>'COSS Losses'!E64</f>
        <v>0.036797651451603575</v>
      </c>
      <c r="M31" s="149">
        <f t="shared" si="5"/>
        <v>1930373.862061097</v>
      </c>
      <c r="N31" s="97">
        <f>'RtR Market DT'!S18</f>
        <v>187337.7383896528</v>
      </c>
      <c r="O31" s="45">
        <f>'COSS Losses'!F64</f>
        <v>0.026245556007435777</v>
      </c>
      <c r="P31" s="149">
        <f t="shared" si="6"/>
        <v>192254.52149486478</v>
      </c>
      <c r="Q31" s="97">
        <f>'RtR Market DT'!W18</f>
        <v>427557.24452926003</v>
      </c>
      <c r="R31" s="45">
        <f>'COSS Losses'!G64</f>
        <v>0.025507359392779316</v>
      </c>
      <c r="S31" s="149">
        <f t="shared" si="7"/>
        <v>438463.1008264543</v>
      </c>
      <c r="T31" s="97">
        <f>'RtR Market DT'!AA18</f>
        <v>5172288.114948245</v>
      </c>
      <c r="U31" s="45">
        <f>'COSS Losses'!H64</f>
        <v>0.025507359392779316</v>
      </c>
      <c r="V31" s="149">
        <f t="shared" si="8"/>
        <v>5304219.526779231</v>
      </c>
      <c r="W31" s="97">
        <v>0</v>
      </c>
      <c r="X31" s="45">
        <v>0</v>
      </c>
      <c r="Y31" s="149">
        <f t="shared" si="9"/>
        <v>0</v>
      </c>
      <c r="Z31" s="97">
        <f>'RtR Market DT'!AI18</f>
        <v>57493.77907934534</v>
      </c>
      <c r="AA31" s="45">
        <f>'COSS Losses'!J64</f>
        <v>0.07536720923483836</v>
      </c>
      <c r="AB31" s="149">
        <f t="shared" si="10"/>
        <v>61826.92475691993</v>
      </c>
      <c r="AC31" s="97">
        <f t="shared" si="1"/>
        <v>10091034.906309778</v>
      </c>
      <c r="AD31" s="45"/>
      <c r="AE31" s="149">
        <f t="shared" si="2"/>
        <v>10412031.578146404</v>
      </c>
    </row>
    <row r="32" spans="1:31" ht="15">
      <c r="A32" t="s">
        <v>12</v>
      </c>
      <c r="B32" s="97">
        <f>'RtR Market DT'!C19</f>
        <v>1184411.603615748</v>
      </c>
      <c r="C32" s="45">
        <f>'COSS Losses'!B65</f>
        <v>0.038006759691901426</v>
      </c>
      <c r="D32" s="149">
        <f t="shared" si="0"/>
        <v>1229427.2508106714</v>
      </c>
      <c r="E32" s="97">
        <f>'RtR Market DT'!G19</f>
        <v>98019.49706874388</v>
      </c>
      <c r="F32" s="45">
        <f>'COSS Losses'!C65</f>
        <v>0.04291117155950058</v>
      </c>
      <c r="G32" s="149">
        <f t="shared" si="3"/>
        <v>102225.6285236367</v>
      </c>
      <c r="H32" s="97">
        <f>'RtR Market DT'!K19</f>
        <v>1242369.5246237426</v>
      </c>
      <c r="I32" s="45">
        <f>'COSS Losses'!D65</f>
        <v>0.021715886571579912</v>
      </c>
      <c r="J32" s="149">
        <f t="shared" si="4"/>
        <v>1269348.6803004593</v>
      </c>
      <c r="K32" s="97">
        <f>'RtR Market DT'!O19</f>
        <v>1737077.7885040068</v>
      </c>
      <c r="L32" s="45">
        <f>'COSS Losses'!E65</f>
        <v>0.0175913687229326</v>
      </c>
      <c r="M32" s="149">
        <f t="shared" si="5"/>
        <v>1767635.364381997</v>
      </c>
      <c r="N32" s="97">
        <f>'RtR Market DT'!S19</f>
        <v>175113.14860482153</v>
      </c>
      <c r="O32" s="45">
        <f>'COSS Losses'!F65</f>
        <v>0.01638550873676753</v>
      </c>
      <c r="P32" s="149">
        <f t="shared" si="6"/>
        <v>177982.4666312087</v>
      </c>
      <c r="Q32" s="97">
        <f>'RtR Market DT'!W19</f>
        <v>416442.74795709574</v>
      </c>
      <c r="R32" s="45">
        <f>'COSS Losses'!G65</f>
        <v>0.01556983622732161</v>
      </c>
      <c r="S32" s="149">
        <f t="shared" si="7"/>
        <v>422926.6933408435</v>
      </c>
      <c r="T32" s="97">
        <f>'RtR Market DT'!AA19</f>
        <v>4881329.762421957</v>
      </c>
      <c r="U32" s="45">
        <f>'COSS Losses'!H65</f>
        <v>0.01556983622732161</v>
      </c>
      <c r="V32" s="149">
        <f t="shared" si="8"/>
        <v>4957331.267394418</v>
      </c>
      <c r="W32" s="97">
        <v>0</v>
      </c>
      <c r="X32" s="45">
        <v>0</v>
      </c>
      <c r="Y32" s="149">
        <f>'RtR Market DT'!AE19</f>
        <v>5360871.598282292</v>
      </c>
      <c r="Z32" s="97">
        <f>'RtR Market DT'!AI19</f>
        <v>70951.30731341406</v>
      </c>
      <c r="AA32" s="45">
        <f>'COSS Losses'!J65</f>
        <v>0.05714657549784513</v>
      </c>
      <c r="AB32" s="149">
        <f t="shared" si="10"/>
        <v>75005.93155347089</v>
      </c>
      <c r="AC32" s="97">
        <f t="shared" si="1"/>
        <v>9805715.380109528</v>
      </c>
      <c r="AD32" s="45"/>
      <c r="AE32" s="149">
        <f t="shared" si="2"/>
        <v>15362754.881218998</v>
      </c>
    </row>
    <row r="33" spans="1:31" ht="15">
      <c r="A33" t="s">
        <v>13</v>
      </c>
      <c r="B33" s="97">
        <f>'RtR Market DT'!C20</f>
        <v>1565031.7726972539</v>
      </c>
      <c r="C33" s="45">
        <f>'COSS Losses'!B66</f>
        <v>0.052698334612745035</v>
      </c>
      <c r="D33" s="149">
        <f t="shared" si="0"/>
        <v>1647506.3407344313</v>
      </c>
      <c r="E33" s="97">
        <f>'RtR Market DT'!G20</f>
        <v>120328.14458394777</v>
      </c>
      <c r="F33" s="45">
        <f>'COSS Losses'!C66</f>
        <v>0.04483644899543077</v>
      </c>
      <c r="G33" s="149">
        <f t="shared" si="3"/>
        <v>125723.23130130075</v>
      </c>
      <c r="H33" s="97">
        <f>'RtR Market DT'!K20</f>
        <v>1326908.2840959127</v>
      </c>
      <c r="I33" s="45">
        <f>'COSS Losses'!D66</f>
        <v>0.029186159587062</v>
      </c>
      <c r="J33" s="149">
        <f t="shared" si="4"/>
        <v>1365635.6410329305</v>
      </c>
      <c r="K33" s="97">
        <f>'RtR Market DT'!O20</f>
        <v>1690117.1206304282</v>
      </c>
      <c r="L33" s="45">
        <f>'COSS Losses'!E66</f>
        <v>0.029761141643435185</v>
      </c>
      <c r="M33" s="149">
        <f t="shared" si="5"/>
        <v>1740416.9356515051</v>
      </c>
      <c r="N33" s="97">
        <f>'RtR Market DT'!S20</f>
        <v>161279.97021879035</v>
      </c>
      <c r="O33" s="45">
        <f>'COSS Losses'!F66</f>
        <v>0.025691851336779037</v>
      </c>
      <c r="P33" s="149">
        <f t="shared" si="6"/>
        <v>165423.55123725164</v>
      </c>
      <c r="Q33" s="97">
        <f>'RtR Market DT'!W20</f>
        <v>629857.9785717049</v>
      </c>
      <c r="R33" s="45">
        <f>'COSS Losses'!G66</f>
        <v>0.02337430677981006</v>
      </c>
      <c r="S33" s="149">
        <f t="shared" si="7"/>
        <v>644580.472190551</v>
      </c>
      <c r="T33" s="97">
        <f>'RtR Market DT'!AA20</f>
        <v>4758928.257481431</v>
      </c>
      <c r="U33" s="45">
        <f>'COSS Losses'!H66</f>
        <v>0.02337430677981006</v>
      </c>
      <c r="V33" s="149">
        <f t="shared" si="8"/>
        <v>4870164.906514908</v>
      </c>
      <c r="W33" s="97">
        <v>0</v>
      </c>
      <c r="X33" s="45">
        <v>0</v>
      </c>
      <c r="Y33" s="149">
        <f>'RtR Market DT'!AE20</f>
        <v>5226445.369496407</v>
      </c>
      <c r="Z33" s="97">
        <f>'RtR Market DT'!AI20</f>
        <v>79005.5486955429</v>
      </c>
      <c r="AA33" s="45">
        <f>'COSS Losses'!J66</f>
        <v>0.053763246832294886</v>
      </c>
      <c r="AB33" s="149">
        <f t="shared" si="10"/>
        <v>83253.14351118225</v>
      </c>
      <c r="AC33" s="97">
        <f t="shared" si="1"/>
        <v>10331457.076975012</v>
      </c>
      <c r="AD33" s="45"/>
      <c r="AE33" s="149">
        <f t="shared" si="2"/>
        <v>15869149.591670468</v>
      </c>
    </row>
    <row r="34" spans="1:31" ht="15">
      <c r="A34" t="s">
        <v>14</v>
      </c>
      <c r="B34" s="97">
        <f>'RtR Market DT'!C21</f>
        <v>1999167.519746393</v>
      </c>
      <c r="C34" s="45">
        <f>'COSS Losses'!B67</f>
        <v>0.05904866606384901</v>
      </c>
      <c r="D34" s="149">
        <f t="shared" si="0"/>
        <v>2117215.6950255907</v>
      </c>
      <c r="E34" s="97">
        <f>'RtR Market DT'!G21</f>
        <v>130567.35214721305</v>
      </c>
      <c r="F34" s="45">
        <f>'COSS Losses'!C67</f>
        <v>0.05355768221762475</v>
      </c>
      <c r="G34" s="149">
        <f t="shared" si="3"/>
        <v>137560.2369015102</v>
      </c>
      <c r="H34" s="97">
        <f>'RtR Market DT'!K21</f>
        <v>1432716.1369837713</v>
      </c>
      <c r="I34" s="45">
        <f>'COSS Losses'!D67</f>
        <v>0.02621066786996168</v>
      </c>
      <c r="J34" s="149">
        <f t="shared" si="4"/>
        <v>1470268.5838021873</v>
      </c>
      <c r="K34" s="97">
        <f>'RtR Market DT'!O21</f>
        <v>1579504.2400005148</v>
      </c>
      <c r="L34" s="45">
        <f>'COSS Losses'!E67</f>
        <v>0.02800835653528516</v>
      </c>
      <c r="M34" s="149">
        <f t="shared" si="5"/>
        <v>1623743.5579034437</v>
      </c>
      <c r="N34" s="97">
        <f>'RtR Market DT'!S21</f>
        <v>186203.65788482522</v>
      </c>
      <c r="O34" s="45">
        <f>'COSS Losses'!F67</f>
        <v>0.025703910689865606</v>
      </c>
      <c r="P34" s="149">
        <f t="shared" si="6"/>
        <v>190989.82007722306</v>
      </c>
      <c r="Q34" s="97">
        <f>'RtR Market DT'!W21</f>
        <v>616839.2795915201</v>
      </c>
      <c r="R34" s="45">
        <f>'COSS Losses'!G67</f>
        <v>0.019130391877621833</v>
      </c>
      <c r="S34" s="149">
        <f t="shared" si="7"/>
        <v>628639.6567356158</v>
      </c>
      <c r="T34" s="97">
        <f>'RtR Market DT'!AA21</f>
        <v>4684406.607269142</v>
      </c>
      <c r="U34" s="45">
        <f>'COSS Losses'!H67</f>
        <v>0.019130391877621833</v>
      </c>
      <c r="V34" s="149">
        <f t="shared" si="8"/>
        <v>4774021.141380321</v>
      </c>
      <c r="W34" s="97">
        <v>0</v>
      </c>
      <c r="X34" s="45">
        <v>0</v>
      </c>
      <c r="Y34" s="149">
        <f>'RtR Market DT'!AE21</f>
        <v>5144602.712367264</v>
      </c>
      <c r="Z34" s="97">
        <f>'RtR Market DT'!AI21</f>
        <v>97313.03693949901</v>
      </c>
      <c r="AA34" s="45">
        <f>'COSS Losses'!J67</f>
        <v>0.061900124678663515</v>
      </c>
      <c r="AB34" s="149">
        <f t="shared" si="10"/>
        <v>103336.72605891338</v>
      </c>
      <c r="AC34" s="97">
        <f t="shared" si="1"/>
        <v>10726717.83056288</v>
      </c>
      <c r="AD34" s="45"/>
      <c r="AE34" s="149">
        <f t="shared" si="2"/>
        <v>16190378.130252069</v>
      </c>
    </row>
    <row r="35" spans="1:31" ht="15">
      <c r="A35" t="s">
        <v>15</v>
      </c>
      <c r="B35" s="97">
        <f>'RtR Market DT'!C22</f>
        <v>3000355.7072015475</v>
      </c>
      <c r="C35" s="45">
        <f>'COSS Losses'!B68</f>
        <v>0.08621727139607255</v>
      </c>
      <c r="D35" s="149">
        <f t="shared" si="0"/>
        <v>3259038.189494098</v>
      </c>
      <c r="E35" s="97">
        <f>'RtR Market DT'!G22</f>
        <v>175547.19802248554</v>
      </c>
      <c r="F35" s="45">
        <f>'COSS Losses'!C68</f>
        <v>0.06862614519592919</v>
      </c>
      <c r="G35" s="149">
        <f t="shared" si="3"/>
        <v>187594.32552271514</v>
      </c>
      <c r="H35" s="97">
        <f>'RtR Market DT'!K22</f>
        <v>1587447.5677786693</v>
      </c>
      <c r="I35" s="45">
        <f>'COSS Losses'!D68</f>
        <v>0.043915356881263634</v>
      </c>
      <c r="J35" s="149">
        <f t="shared" si="4"/>
        <v>1657160.8942479633</v>
      </c>
      <c r="K35" s="97">
        <f>'RtR Market DT'!O22</f>
        <v>1609196.4761142035</v>
      </c>
      <c r="L35" s="45">
        <f>'COSS Losses'!E68</f>
        <v>0.04264319827490942</v>
      </c>
      <c r="M35" s="149">
        <f t="shared" si="5"/>
        <v>1677817.760508427</v>
      </c>
      <c r="N35" s="97">
        <f>'RtR Market DT'!S22</f>
        <v>215937.2622156487</v>
      </c>
      <c r="O35" s="45">
        <f>'COSS Losses'!F68</f>
        <v>0.03931060224443811</v>
      </c>
      <c r="P35" s="149">
        <f t="shared" si="6"/>
        <v>224425.886040361</v>
      </c>
      <c r="Q35" s="97">
        <f>'RtR Market DT'!W22</f>
        <v>628361.1615945065</v>
      </c>
      <c r="R35" s="45">
        <f>'COSS Losses'!G68</f>
        <v>0.03275234881365746</v>
      </c>
      <c r="S35" s="149">
        <f t="shared" si="7"/>
        <v>648941.4655400047</v>
      </c>
      <c r="T35" s="97">
        <f>'RtR Market DT'!AA22</f>
        <v>4019695.14536307</v>
      </c>
      <c r="U35" s="45">
        <f>'COSS Losses'!H68</f>
        <v>0.03275234881365746</v>
      </c>
      <c r="V35" s="149">
        <f t="shared" si="8"/>
        <v>4151349.6028885664</v>
      </c>
      <c r="W35" s="97">
        <v>0</v>
      </c>
      <c r="X35" s="45">
        <v>0</v>
      </c>
      <c r="Y35" s="149">
        <f>'RtR Market DT'!AE22</f>
        <v>4414589.996443539</v>
      </c>
      <c r="Z35" s="97">
        <f>'RtR Market DT'!AI22</f>
        <v>111416.2035414193</v>
      </c>
      <c r="AA35" s="45">
        <f>'COSS Losses'!J68</f>
        <v>0.08311333997903275</v>
      </c>
      <c r="AB35" s="149">
        <f t="shared" si="10"/>
        <v>120676.37634553039</v>
      </c>
      <c r="AC35" s="97">
        <f t="shared" si="1"/>
        <v>11347956.721831549</v>
      </c>
      <c r="AD35" s="45"/>
      <c r="AE35" s="149">
        <f t="shared" si="2"/>
        <v>16341594.497031204</v>
      </c>
    </row>
    <row r="36" spans="1:31" s="6" customFormat="1" ht="15.75">
      <c r="A36" s="6" t="s">
        <v>43</v>
      </c>
      <c r="B36" s="148">
        <f>SUM(B24:B35)</f>
        <v>13861130.901833637</v>
      </c>
      <c r="C36" s="126">
        <f>D36/B36-1</f>
        <v>0.06150877669216892</v>
      </c>
      <c r="D36" s="150">
        <f>SUM(D24:D35)</f>
        <v>14713712.107175443</v>
      </c>
      <c r="E36" s="148">
        <f>SUM(E24:E35)</f>
        <v>1088548.104571109</v>
      </c>
      <c r="F36" s="126">
        <f>G36/E36-1</f>
        <v>0.05606342641022777</v>
      </c>
      <c r="G36" s="150">
        <f>SUM(G24:G35)</f>
        <v>1149575.8411257241</v>
      </c>
      <c r="H36" s="148">
        <f>SUM(H24:H35)</f>
        <v>12395605.330326676</v>
      </c>
      <c r="I36" s="126">
        <f>J36/H36-1</f>
        <v>0.030764583598451356</v>
      </c>
      <c r="J36" s="150">
        <f>SUM(J24:J35)</f>
        <v>12776950.96676492</v>
      </c>
      <c r="K36" s="148">
        <f>SUM(K24:K35)</f>
        <v>19981535.254148994</v>
      </c>
      <c r="L36" s="126">
        <f>M36/K36-1</f>
        <v>0.030732583682860692</v>
      </c>
      <c r="M36" s="150">
        <f>SUM(M24:M35)</f>
        <v>20595619.458459157</v>
      </c>
      <c r="N36" s="148">
        <f>SUM(N24:N35)</f>
        <v>1726701.5607586133</v>
      </c>
      <c r="O36" s="126">
        <f>P36/N36-1</f>
        <v>0.026248344147296043</v>
      </c>
      <c r="P36" s="150">
        <f>SUM(P24:P35)</f>
        <v>1772024.6175650784</v>
      </c>
      <c r="Q36" s="148">
        <f>SUM(Q24:Q35)</f>
        <v>5219555.86311402</v>
      </c>
      <c r="R36" s="126">
        <f>S36/Q36-1</f>
        <v>0.023189359431831535</v>
      </c>
      <c r="S36" s="150">
        <f>SUM(S24:S35)</f>
        <v>5340594.020098295</v>
      </c>
      <c r="T36" s="148">
        <f>SUM(T24:T35)</f>
        <v>54453604.74670095</v>
      </c>
      <c r="U36" s="126">
        <f>V36/T36-1</f>
        <v>0.022631052208741842</v>
      </c>
      <c r="V36" s="150">
        <f>SUM(V24:V35)</f>
        <v>55685947.118677735</v>
      </c>
      <c r="W36" s="148">
        <f>SUM(W24:W35)</f>
        <v>0</v>
      </c>
      <c r="X36" s="126" t="e">
        <f>Y36/W36-1</f>
        <v>#DIV/0!</v>
      </c>
      <c r="Y36" s="150">
        <f>SUM(Y24:Y35)</f>
        <v>20146509.6765895</v>
      </c>
      <c r="Z36" s="148">
        <f>SUM(Z24:Z35)</f>
        <v>633154.0071282077</v>
      </c>
      <c r="AA36" s="126">
        <f>AB36/Z36-1</f>
        <v>0.06867063425220454</v>
      </c>
      <c r="AB36" s="150">
        <f>SUM(AB24:AB35)</f>
        <v>676633.0943770265</v>
      </c>
      <c r="AC36" s="148">
        <f>SUM(AC24:AC35)</f>
        <v>109359835.76858221</v>
      </c>
      <c r="AD36" s="126"/>
      <c r="AE36" s="150">
        <f>SUM(AE24:AE35)</f>
        <v>132857566.90083289</v>
      </c>
    </row>
    <row r="37" spans="2:31" ht="15">
      <c r="B37" s="24"/>
      <c r="C37" s="25"/>
      <c r="D37" s="26"/>
      <c r="E37" s="24"/>
      <c r="F37" s="25"/>
      <c r="G37" s="26"/>
      <c r="H37" s="24"/>
      <c r="I37" s="25"/>
      <c r="J37" s="26"/>
      <c r="K37" s="24"/>
      <c r="L37" s="25"/>
      <c r="M37" s="26"/>
      <c r="N37" s="24"/>
      <c r="O37" s="25"/>
      <c r="P37" s="26"/>
      <c r="Q37" s="24"/>
      <c r="R37" s="25"/>
      <c r="S37" s="26"/>
      <c r="T37" s="24"/>
      <c r="U37" s="25"/>
      <c r="V37" s="26"/>
      <c r="W37" s="24"/>
      <c r="X37" s="25"/>
      <c r="Y37" s="26"/>
      <c r="Z37" s="24"/>
      <c r="AA37" s="25"/>
      <c r="AB37" s="26"/>
      <c r="AC37" s="24"/>
      <c r="AD37" s="25"/>
      <c r="AE37" s="26"/>
    </row>
    <row r="39" ht="15.75">
      <c r="A39" s="6" t="s">
        <v>203</v>
      </c>
    </row>
    <row r="41" spans="3:13" ht="15">
      <c r="C41" s="270" t="s">
        <v>84</v>
      </c>
      <c r="D41" s="266"/>
      <c r="E41" s="267"/>
      <c r="F41" s="262" t="s">
        <v>178</v>
      </c>
      <c r="G41" s="296"/>
      <c r="H41" s="263"/>
      <c r="I41" s="270" t="s">
        <v>232</v>
      </c>
      <c r="J41" s="266"/>
      <c r="K41" s="267"/>
      <c r="L41" s="270" t="s">
        <v>85</v>
      </c>
      <c r="M41" s="267"/>
    </row>
    <row r="42" spans="2:13" ht="45">
      <c r="B42" t="s">
        <v>72</v>
      </c>
      <c r="C42" s="12" t="s">
        <v>83</v>
      </c>
      <c r="D42" s="13" t="s">
        <v>204</v>
      </c>
      <c r="E42" s="14" t="s">
        <v>49</v>
      </c>
      <c r="F42" s="12" t="s">
        <v>83</v>
      </c>
      <c r="G42" s="13" t="s">
        <v>204</v>
      </c>
      <c r="H42" s="14" t="s">
        <v>49</v>
      </c>
      <c r="I42" s="12" t="s">
        <v>83</v>
      </c>
      <c r="J42" s="13" t="s">
        <v>204</v>
      </c>
      <c r="K42" s="14" t="s">
        <v>49</v>
      </c>
      <c r="L42" s="69" t="s">
        <v>87</v>
      </c>
      <c r="M42" s="171" t="s">
        <v>205</v>
      </c>
    </row>
    <row r="43" spans="1:13" ht="15">
      <c r="A43" t="s">
        <v>4</v>
      </c>
      <c r="B43">
        <f>'RtR Market OATT'!B42</f>
        <v>31</v>
      </c>
      <c r="C43" s="97">
        <f aca="true" t="shared" si="11" ref="C43:C50">$H$4</f>
        <v>26.096</v>
      </c>
      <c r="D43" s="18">
        <f aca="true" t="shared" si="12" ref="D43:D54">C43*B43*24*E43</f>
        <v>8481.735171924822</v>
      </c>
      <c r="E43" s="130">
        <v>0.43685552125592636</v>
      </c>
      <c r="F43" s="97">
        <f aca="true" t="shared" si="13" ref="F43:F54">$H$5</f>
        <v>20</v>
      </c>
      <c r="G43" s="18">
        <f aca="true" t="shared" si="14" ref="G43:G54">B43*F43*24*H43</f>
        <v>4612.8</v>
      </c>
      <c r="H43" s="130">
        <v>0.31</v>
      </c>
      <c r="I43" s="97"/>
      <c r="J43" s="18">
        <f aca="true" t="shared" si="15" ref="J43:J48">I43*E43*24*K43</f>
        <v>0</v>
      </c>
      <c r="K43" s="130"/>
      <c r="L43" s="133">
        <f aca="true" t="shared" si="16" ref="L43:L54">D43+J43+G43</f>
        <v>13094.535171924821</v>
      </c>
      <c r="M43" s="134">
        <f>L43/(1+$B$7)</f>
        <v>12802.635091831073</v>
      </c>
    </row>
    <row r="44" spans="1:13" ht="15">
      <c r="A44" t="s">
        <v>5</v>
      </c>
      <c r="B44">
        <f>'RtR Market OATT'!B43</f>
        <v>28</v>
      </c>
      <c r="C44" s="97">
        <f t="shared" si="11"/>
        <v>26.096</v>
      </c>
      <c r="D44" s="18">
        <f t="shared" si="12"/>
        <v>5767.767973496108</v>
      </c>
      <c r="E44" s="130">
        <v>0.3289005232908408</v>
      </c>
      <c r="F44" s="97">
        <f t="shared" si="13"/>
        <v>20</v>
      </c>
      <c r="G44" s="18">
        <f t="shared" si="14"/>
        <v>3494.4</v>
      </c>
      <c r="H44" s="130">
        <v>0.26</v>
      </c>
      <c r="I44" s="97"/>
      <c r="J44" s="18">
        <f t="shared" si="15"/>
        <v>0</v>
      </c>
      <c r="K44" s="130"/>
      <c r="L44" s="133">
        <f t="shared" si="16"/>
        <v>9262.167973496109</v>
      </c>
      <c r="M44" s="134">
        <f aca="true" t="shared" si="17" ref="M44:M54">L44/(1+$B$7)</f>
        <v>9055.698057778754</v>
      </c>
    </row>
    <row r="45" spans="1:13" ht="15">
      <c r="A45" t="s">
        <v>6</v>
      </c>
      <c r="B45">
        <f>'RtR Market OATT'!B44</f>
        <v>31</v>
      </c>
      <c r="C45" s="97">
        <f t="shared" si="11"/>
        <v>26.096</v>
      </c>
      <c r="D45" s="18">
        <f t="shared" si="12"/>
        <v>5991.8186015242945</v>
      </c>
      <c r="E45" s="130">
        <v>0.3086112670794259</v>
      </c>
      <c r="F45" s="97">
        <f t="shared" si="13"/>
        <v>20</v>
      </c>
      <c r="G45" s="18">
        <f t="shared" si="14"/>
        <v>3720</v>
      </c>
      <c r="H45" s="130">
        <v>0.25</v>
      </c>
      <c r="I45" s="97"/>
      <c r="J45" s="18">
        <f t="shared" si="15"/>
        <v>0</v>
      </c>
      <c r="K45" s="130"/>
      <c r="L45" s="133">
        <f t="shared" si="16"/>
        <v>9711.818601524294</v>
      </c>
      <c r="M45" s="134">
        <f t="shared" si="17"/>
        <v>9495.325187254883</v>
      </c>
    </row>
    <row r="46" spans="1:13" ht="15">
      <c r="A46" t="s">
        <v>7</v>
      </c>
      <c r="B46">
        <f>'RtR Market OATT'!B45</f>
        <v>30</v>
      </c>
      <c r="C46" s="97">
        <f t="shared" si="11"/>
        <v>26.096</v>
      </c>
      <c r="D46" s="18">
        <f t="shared" si="12"/>
        <v>6373.580156303091</v>
      </c>
      <c r="E46" s="130">
        <v>0.339216533627072</v>
      </c>
      <c r="F46" s="97">
        <f t="shared" si="13"/>
        <v>20</v>
      </c>
      <c r="G46" s="18">
        <f t="shared" si="14"/>
        <v>3456</v>
      </c>
      <c r="H46" s="130">
        <v>0.24</v>
      </c>
      <c r="I46" s="97"/>
      <c r="J46" s="18">
        <f t="shared" si="15"/>
        <v>0</v>
      </c>
      <c r="K46" s="130"/>
      <c r="L46" s="133">
        <f t="shared" si="16"/>
        <v>9829.580156303091</v>
      </c>
      <c r="M46" s="134">
        <f t="shared" si="17"/>
        <v>9610.4616311137</v>
      </c>
    </row>
    <row r="47" spans="1:13" ht="15">
      <c r="A47" t="s">
        <v>8</v>
      </c>
      <c r="B47">
        <f>'RtR Market OATT'!B46</f>
        <v>31</v>
      </c>
      <c r="C47" s="97">
        <f t="shared" si="11"/>
        <v>26.096</v>
      </c>
      <c r="D47" s="18">
        <f t="shared" si="12"/>
        <v>6075.469659913325</v>
      </c>
      <c r="E47" s="130">
        <v>0.3129197518381945</v>
      </c>
      <c r="F47" s="97">
        <f t="shared" si="13"/>
        <v>20</v>
      </c>
      <c r="G47" s="18">
        <f t="shared" si="14"/>
        <v>1041.6000000000001</v>
      </c>
      <c r="H47" s="130">
        <v>0.07</v>
      </c>
      <c r="I47" s="97"/>
      <c r="J47" s="18">
        <f t="shared" si="15"/>
        <v>0</v>
      </c>
      <c r="K47" s="130"/>
      <c r="L47" s="133">
        <f t="shared" si="16"/>
        <v>7117.069659913325</v>
      </c>
      <c r="M47" s="134">
        <f t="shared" si="17"/>
        <v>6958.4177355429465</v>
      </c>
    </row>
    <row r="48" spans="1:13" ht="15">
      <c r="A48" t="s">
        <v>9</v>
      </c>
      <c r="B48">
        <f>'RtR Market OATT'!B47</f>
        <v>30</v>
      </c>
      <c r="C48" s="97">
        <f t="shared" si="11"/>
        <v>26.096</v>
      </c>
      <c r="D48" s="18">
        <f t="shared" si="12"/>
        <v>4387.685423423184</v>
      </c>
      <c r="E48" s="130">
        <v>0.23352266755564838</v>
      </c>
      <c r="F48" s="97">
        <f t="shared" si="13"/>
        <v>20</v>
      </c>
      <c r="G48" s="18">
        <f t="shared" si="14"/>
        <v>0</v>
      </c>
      <c r="H48" s="130">
        <v>0</v>
      </c>
      <c r="I48" s="97"/>
      <c r="J48" s="18">
        <f t="shared" si="15"/>
        <v>0</v>
      </c>
      <c r="K48" s="130"/>
      <c r="L48" s="133">
        <f t="shared" si="16"/>
        <v>4387.685423423184</v>
      </c>
      <c r="M48" s="134">
        <f t="shared" si="17"/>
        <v>4289.876245036356</v>
      </c>
    </row>
    <row r="49" spans="1:13" ht="15">
      <c r="A49" t="s">
        <v>10</v>
      </c>
      <c r="B49">
        <f>'RtR Market OATT'!B48</f>
        <v>31</v>
      </c>
      <c r="C49" s="97">
        <f t="shared" si="11"/>
        <v>26.096</v>
      </c>
      <c r="D49" s="18">
        <f t="shared" si="12"/>
        <v>3776.9640652988223</v>
      </c>
      <c r="E49" s="130">
        <v>0.19453420462508686</v>
      </c>
      <c r="F49" s="97">
        <f t="shared" si="13"/>
        <v>20</v>
      </c>
      <c r="G49" s="18">
        <f t="shared" si="14"/>
        <v>2678.4</v>
      </c>
      <c r="H49" s="130">
        <v>0.18</v>
      </c>
      <c r="I49" s="97">
        <f aca="true" t="shared" si="18" ref="I49:I54">$H$6</f>
        <v>60</v>
      </c>
      <c r="J49" s="152">
        <f aca="true" t="shared" si="19" ref="J49:J54">C49*B49*24*K49</f>
        <v>4465.54752</v>
      </c>
      <c r="K49" s="130">
        <v>0.23</v>
      </c>
      <c r="L49" s="133">
        <f t="shared" si="16"/>
        <v>10920.911585298822</v>
      </c>
      <c r="M49" s="134">
        <f t="shared" si="17"/>
        <v>10677.465374754422</v>
      </c>
    </row>
    <row r="50" spans="1:13" ht="15">
      <c r="A50" t="s">
        <v>11</v>
      </c>
      <c r="B50">
        <f>'RtR Market OATT'!B49</f>
        <v>31</v>
      </c>
      <c r="C50" s="97">
        <f t="shared" si="11"/>
        <v>26.096</v>
      </c>
      <c r="D50" s="18">
        <f t="shared" si="12"/>
        <v>4220.504786770385</v>
      </c>
      <c r="E50" s="130">
        <v>0.21737896564970127</v>
      </c>
      <c r="F50" s="97">
        <f t="shared" si="13"/>
        <v>20</v>
      </c>
      <c r="G50" s="18">
        <f t="shared" si="14"/>
        <v>3124.7999999999997</v>
      </c>
      <c r="H50" s="130">
        <v>0.21</v>
      </c>
      <c r="I50" s="97">
        <f t="shared" si="18"/>
        <v>60</v>
      </c>
      <c r="J50" s="152">
        <f t="shared" si="19"/>
        <v>4659.70176</v>
      </c>
      <c r="K50" s="130">
        <v>0.24</v>
      </c>
      <c r="L50" s="133">
        <f t="shared" si="16"/>
        <v>12005.006546770384</v>
      </c>
      <c r="M50" s="134">
        <f t="shared" si="17"/>
        <v>11737.393964382465</v>
      </c>
    </row>
    <row r="51" spans="1:13" ht="15">
      <c r="A51" t="s">
        <v>12</v>
      </c>
      <c r="B51">
        <f>'RtR Market OATT'!B50</f>
        <v>30</v>
      </c>
      <c r="C51" s="97">
        <v>15</v>
      </c>
      <c r="D51" s="18">
        <f t="shared" si="12"/>
        <v>3239.069305079941</v>
      </c>
      <c r="E51" s="130">
        <v>0.299913824544439</v>
      </c>
      <c r="F51" s="97">
        <f t="shared" si="13"/>
        <v>20</v>
      </c>
      <c r="G51" s="18">
        <f t="shared" si="14"/>
        <v>3168</v>
      </c>
      <c r="H51" s="130">
        <v>0.22</v>
      </c>
      <c r="I51" s="97">
        <f t="shared" si="18"/>
        <v>60</v>
      </c>
      <c r="J51" s="152">
        <f t="shared" si="19"/>
        <v>3564</v>
      </c>
      <c r="K51" s="130">
        <v>0.33</v>
      </c>
      <c r="L51" s="133">
        <f t="shared" si="16"/>
        <v>9971.069305079942</v>
      </c>
      <c r="M51" s="134">
        <f t="shared" si="17"/>
        <v>9748.796739421141</v>
      </c>
    </row>
    <row r="52" spans="1:13" ht="15">
      <c r="A52" t="s">
        <v>13</v>
      </c>
      <c r="B52">
        <f>'RtR Market OATT'!B51</f>
        <v>31</v>
      </c>
      <c r="C52" s="97">
        <f>$H$4</f>
        <v>26.096</v>
      </c>
      <c r="D52" s="18">
        <f t="shared" si="12"/>
        <v>5089.628172256308</v>
      </c>
      <c r="E52" s="130">
        <v>0.26214355000726786</v>
      </c>
      <c r="F52" s="97">
        <f t="shared" si="13"/>
        <v>20</v>
      </c>
      <c r="G52" s="18">
        <f t="shared" si="14"/>
        <v>3571.2</v>
      </c>
      <c r="H52" s="130">
        <v>0.24</v>
      </c>
      <c r="I52" s="97">
        <f t="shared" si="18"/>
        <v>60</v>
      </c>
      <c r="J52" s="152">
        <f t="shared" si="19"/>
        <v>5242.16448</v>
      </c>
      <c r="K52" s="130">
        <v>0.27</v>
      </c>
      <c r="L52" s="133">
        <f t="shared" si="16"/>
        <v>13902.992652256307</v>
      </c>
      <c r="M52" s="134">
        <f t="shared" si="17"/>
        <v>13593.070641627208</v>
      </c>
    </row>
    <row r="53" spans="1:13" ht="15">
      <c r="A53" t="s">
        <v>14</v>
      </c>
      <c r="B53">
        <f>'RtR Market OATT'!B52</f>
        <v>30</v>
      </c>
      <c r="C53" s="97">
        <f>$H$4</f>
        <v>26.096</v>
      </c>
      <c r="D53" s="18">
        <f t="shared" si="12"/>
        <v>7702.14988755847</v>
      </c>
      <c r="E53" s="130">
        <v>0.40992605760985457</v>
      </c>
      <c r="F53" s="97">
        <f t="shared" si="13"/>
        <v>20</v>
      </c>
      <c r="G53" s="18">
        <f t="shared" si="14"/>
        <v>4032.0000000000005</v>
      </c>
      <c r="H53" s="130">
        <v>0.28</v>
      </c>
      <c r="I53" s="97">
        <f t="shared" si="18"/>
        <v>60</v>
      </c>
      <c r="J53" s="152">
        <f t="shared" si="19"/>
        <v>7703.539199999999</v>
      </c>
      <c r="K53" s="130">
        <v>0.41</v>
      </c>
      <c r="L53" s="133">
        <f t="shared" si="16"/>
        <v>19437.68908755847</v>
      </c>
      <c r="M53" s="134">
        <f t="shared" si="17"/>
        <v>19004.389017949226</v>
      </c>
    </row>
    <row r="54" spans="1:13" ht="15">
      <c r="A54" t="s">
        <v>15</v>
      </c>
      <c r="B54" s="94">
        <f>'RtR Market OATT'!B53</f>
        <v>31</v>
      </c>
      <c r="C54" s="131">
        <f>$H$4</f>
        <v>26.096</v>
      </c>
      <c r="D54" s="95">
        <f t="shared" si="12"/>
        <v>5826.105814276699</v>
      </c>
      <c r="E54" s="132">
        <v>0.30007615668226967</v>
      </c>
      <c r="F54" s="131">
        <f t="shared" si="13"/>
        <v>20</v>
      </c>
      <c r="G54" s="95">
        <f t="shared" si="14"/>
        <v>4017.6000000000004</v>
      </c>
      <c r="H54" s="132">
        <v>0.27</v>
      </c>
      <c r="I54" s="131">
        <f t="shared" si="18"/>
        <v>60</v>
      </c>
      <c r="J54" s="153">
        <f t="shared" si="19"/>
        <v>6407.08992</v>
      </c>
      <c r="K54" s="132">
        <v>0.33</v>
      </c>
      <c r="L54" s="135">
        <f t="shared" si="16"/>
        <v>16250.795734276699</v>
      </c>
      <c r="M54" s="136">
        <f t="shared" si="17"/>
        <v>15888.537088655357</v>
      </c>
    </row>
    <row r="55" spans="1:13" ht="15">
      <c r="A55" t="s">
        <v>24</v>
      </c>
      <c r="B55">
        <f>SUM(B43:B54)</f>
        <v>365</v>
      </c>
      <c r="C55" s="97">
        <f>MAX(C43:C54)</f>
        <v>26.096</v>
      </c>
      <c r="D55" s="18">
        <f>SUM(D43:D54)</f>
        <v>66932.47901782545</v>
      </c>
      <c r="E55" s="130">
        <f>AVERAGE(E43:E54)</f>
        <v>0.3036665853138106</v>
      </c>
      <c r="F55" s="97">
        <f>MAX(F43:F54)</f>
        <v>20</v>
      </c>
      <c r="G55" s="18">
        <f>SUM(G43:G54)</f>
        <v>36916.8</v>
      </c>
      <c r="H55" s="130">
        <f>AVERAGE(H43:H54)</f>
        <v>0.21083333333333332</v>
      </c>
      <c r="I55" s="97">
        <f>MAX(I43:I54)</f>
        <v>60</v>
      </c>
      <c r="J55" s="152">
        <f>SUM(J43:J54)</f>
        <v>32042.04288</v>
      </c>
      <c r="K55" s="130">
        <f>AVERAGE(K49:K54)</f>
        <v>0.3016666666666667</v>
      </c>
      <c r="L55" s="133">
        <f>SUM(L43:L54)</f>
        <v>135891.32189782543</v>
      </c>
      <c r="M55" s="134">
        <f>SUM(M43:M54)</f>
        <v>132862.0667753475</v>
      </c>
    </row>
    <row r="56" spans="3:13" ht="7.5" customHeight="1">
      <c r="C56" s="24"/>
      <c r="D56" s="25"/>
      <c r="E56" s="26"/>
      <c r="F56" s="24"/>
      <c r="G56" s="25"/>
      <c r="H56" s="26"/>
      <c r="I56" s="24"/>
      <c r="J56" s="25"/>
      <c r="K56" s="26"/>
      <c r="L56" s="24"/>
      <c r="M56" s="26"/>
    </row>
    <row r="58" ht="15.75">
      <c r="A58" s="6" t="s">
        <v>206</v>
      </c>
    </row>
    <row r="59" ht="15.75">
      <c r="A59" s="6"/>
    </row>
    <row r="60" spans="2:13" ht="33" customHeight="1">
      <c r="B60" s="290" t="s">
        <v>199</v>
      </c>
      <c r="C60" s="295" t="s">
        <v>89</v>
      </c>
      <c r="D60" s="296"/>
      <c r="E60" s="263"/>
      <c r="F60" s="292" t="s">
        <v>46</v>
      </c>
      <c r="G60" s="293"/>
      <c r="H60" s="293"/>
      <c r="I60" s="293"/>
      <c r="J60" s="293"/>
      <c r="K60" s="293"/>
      <c r="L60" s="293"/>
      <c r="M60" s="294"/>
    </row>
    <row r="61" spans="2:13" ht="31.5">
      <c r="B61" s="291"/>
      <c r="C61" s="137" t="s">
        <v>44</v>
      </c>
      <c r="D61" s="138" t="s">
        <v>45</v>
      </c>
      <c r="E61" s="139" t="s">
        <v>43</v>
      </c>
      <c r="F61" s="143" t="s">
        <v>43</v>
      </c>
      <c r="G61" s="144" t="s">
        <v>117</v>
      </c>
      <c r="H61" s="144"/>
      <c r="I61" s="297" t="s">
        <v>116</v>
      </c>
      <c r="J61" s="297"/>
      <c r="K61" s="297"/>
      <c r="L61" s="297"/>
      <c r="M61" s="298"/>
    </row>
    <row r="62" spans="2:13" ht="15">
      <c r="B62" s="82"/>
      <c r="C62" s="12"/>
      <c r="D62" s="13"/>
      <c r="E62" s="14"/>
      <c r="F62" s="12"/>
      <c r="G62" s="66" t="s">
        <v>207</v>
      </c>
      <c r="H62" s="66" t="s">
        <v>86</v>
      </c>
      <c r="I62" s="66" t="s">
        <v>118</v>
      </c>
      <c r="J62" s="66" t="s">
        <v>113</v>
      </c>
      <c r="K62" s="66" t="s">
        <v>114</v>
      </c>
      <c r="L62" s="66" t="s">
        <v>115</v>
      </c>
      <c r="M62" s="14" t="s">
        <v>43</v>
      </c>
    </row>
    <row r="63" spans="1:13" ht="15">
      <c r="A63" t="s">
        <v>4</v>
      </c>
      <c r="B63" s="141">
        <f aca="true" t="shared" si="20" ref="B63:B74">M43</f>
        <v>12802.635091831073</v>
      </c>
      <c r="C63" s="97">
        <v>5627</v>
      </c>
      <c r="D63" s="18">
        <f aca="true" t="shared" si="21" ref="D63:D74">E63-C63</f>
        <v>1831.6457081832305</v>
      </c>
      <c r="E63" s="99">
        <f aca="true" t="shared" si="22" ref="E63:E74">AE24/1000</f>
        <v>7458.64570818323</v>
      </c>
      <c r="F63" s="97">
        <f aca="true" t="shared" si="23" ref="F63:F74">M43-C63</f>
        <v>7175.635091831073</v>
      </c>
      <c r="G63" s="18">
        <f aca="true" t="shared" si="24" ref="G63:G74">F63-D63</f>
        <v>5343.989383647842</v>
      </c>
      <c r="H63" s="45">
        <f aca="true" t="shared" si="25" ref="H63:H75">G63/E63</f>
        <v>0.7164825348634941</v>
      </c>
      <c r="I63" s="13"/>
      <c r="J63" s="13"/>
      <c r="K63" s="13"/>
      <c r="L63" s="13"/>
      <c r="M63" s="14"/>
    </row>
    <row r="64" spans="1:13" ht="15">
      <c r="A64" t="s">
        <v>5</v>
      </c>
      <c r="B64" s="141">
        <f t="shared" si="20"/>
        <v>9055.698057778754</v>
      </c>
      <c r="C64" s="97">
        <v>4931</v>
      </c>
      <c r="D64" s="18">
        <f t="shared" si="21"/>
        <v>2307.4047018990204</v>
      </c>
      <c r="E64" s="99">
        <f t="shared" si="22"/>
        <v>7238.40470189902</v>
      </c>
      <c r="F64" s="97">
        <f t="shared" si="23"/>
        <v>4124.698057778754</v>
      </c>
      <c r="G64" s="18">
        <f t="shared" si="24"/>
        <v>1817.293355879734</v>
      </c>
      <c r="H64" s="45">
        <f t="shared" si="25"/>
        <v>0.25106269001551695</v>
      </c>
      <c r="I64" s="13"/>
      <c r="J64" s="13"/>
      <c r="K64" s="13"/>
      <c r="L64" s="13"/>
      <c r="M64" s="14"/>
    </row>
    <row r="65" spans="1:13" ht="15">
      <c r="A65" t="s">
        <v>6</v>
      </c>
      <c r="B65" s="141">
        <f t="shared" si="20"/>
        <v>9495.325187254883</v>
      </c>
      <c r="C65" s="97">
        <v>5294.65661028828</v>
      </c>
      <c r="D65" s="18">
        <f t="shared" si="21"/>
        <v>3046.274560757648</v>
      </c>
      <c r="E65" s="99">
        <f t="shared" si="22"/>
        <v>8340.931171045928</v>
      </c>
      <c r="F65" s="97">
        <f t="shared" si="23"/>
        <v>4200.668576966603</v>
      </c>
      <c r="G65" s="18">
        <f t="shared" si="24"/>
        <v>1154.3940162089548</v>
      </c>
      <c r="H65" s="45">
        <f t="shared" si="25"/>
        <v>0.1384010960570242</v>
      </c>
      <c r="I65" s="13"/>
      <c r="J65" s="13"/>
      <c r="K65" s="13"/>
      <c r="L65" s="13"/>
      <c r="M65" s="14"/>
    </row>
    <row r="66" spans="1:13" ht="15">
      <c r="A66" t="s">
        <v>7</v>
      </c>
      <c r="B66" s="141">
        <f t="shared" si="20"/>
        <v>9610.4616311137</v>
      </c>
      <c r="C66" s="97">
        <v>4939</v>
      </c>
      <c r="D66" s="18">
        <f t="shared" si="21"/>
        <v>3355.4490481049143</v>
      </c>
      <c r="E66" s="99">
        <f t="shared" si="22"/>
        <v>8294.449048104914</v>
      </c>
      <c r="F66" s="97">
        <f t="shared" si="23"/>
        <v>4671.4616311137</v>
      </c>
      <c r="G66" s="18">
        <f t="shared" si="24"/>
        <v>1316.0125830087854</v>
      </c>
      <c r="H66" s="45">
        <f t="shared" si="25"/>
        <v>0.15866184424985566</v>
      </c>
      <c r="I66" s="13"/>
      <c r="J66" s="13"/>
      <c r="K66" s="13"/>
      <c r="L66" s="13"/>
      <c r="M66" s="14"/>
    </row>
    <row r="67" spans="1:13" ht="15">
      <c r="A67" t="s">
        <v>8</v>
      </c>
      <c r="B67" s="141">
        <f t="shared" si="20"/>
        <v>6958.4177355429465</v>
      </c>
      <c r="C67" s="97">
        <v>4048.12523904748</v>
      </c>
      <c r="D67" s="18">
        <f t="shared" si="21"/>
        <v>4841.934307673046</v>
      </c>
      <c r="E67" s="99">
        <f t="shared" si="22"/>
        <v>8890.059546720526</v>
      </c>
      <c r="F67" s="97">
        <f t="shared" si="23"/>
        <v>2910.2924964954664</v>
      </c>
      <c r="G67" s="18">
        <f t="shared" si="24"/>
        <v>-1931.6418111775793</v>
      </c>
      <c r="H67" s="45">
        <f t="shared" si="25"/>
        <v>-0.21728108805414548</v>
      </c>
      <c r="I67" s="13"/>
      <c r="J67" s="13"/>
      <c r="K67" s="13"/>
      <c r="L67" s="13"/>
      <c r="M67" s="14"/>
    </row>
    <row r="68" spans="1:13" ht="15">
      <c r="A68" t="s">
        <v>9</v>
      </c>
      <c r="B68" s="141">
        <f t="shared" si="20"/>
        <v>4289.876245036356</v>
      </c>
      <c r="C68" s="97">
        <v>3767.69344081986</v>
      </c>
      <c r="D68" s="18">
        <f t="shared" si="21"/>
        <v>4892.898869822498</v>
      </c>
      <c r="E68" s="99">
        <f t="shared" si="22"/>
        <v>8660.592310642358</v>
      </c>
      <c r="F68" s="97">
        <f t="shared" si="23"/>
        <v>522.1828042164957</v>
      </c>
      <c r="G68" s="18">
        <f t="shared" si="24"/>
        <v>-4370.716065606002</v>
      </c>
      <c r="H68" s="45">
        <f t="shared" si="25"/>
        <v>-0.5046671069177514</v>
      </c>
      <c r="I68" s="13"/>
      <c r="J68" s="13"/>
      <c r="K68" s="13"/>
      <c r="L68" s="13"/>
      <c r="M68" s="14"/>
    </row>
    <row r="69" spans="1:13" ht="15">
      <c r="A69" t="s">
        <v>10</v>
      </c>
      <c r="B69" s="141">
        <f t="shared" si="20"/>
        <v>10677.465374754422</v>
      </c>
      <c r="C69" s="97">
        <v>5874</v>
      </c>
      <c r="D69" s="18">
        <f t="shared" si="21"/>
        <v>3924.5757359177733</v>
      </c>
      <c r="E69" s="99">
        <f t="shared" si="22"/>
        <v>9798.575735917773</v>
      </c>
      <c r="F69" s="97">
        <f t="shared" si="23"/>
        <v>4803.465374754422</v>
      </c>
      <c r="G69" s="18">
        <f t="shared" si="24"/>
        <v>878.8896388366484</v>
      </c>
      <c r="H69" s="45">
        <f t="shared" si="25"/>
        <v>0.0896956519522506</v>
      </c>
      <c r="I69" s="13"/>
      <c r="J69" s="13"/>
      <c r="K69" s="13"/>
      <c r="L69" s="13"/>
      <c r="M69" s="14"/>
    </row>
    <row r="70" spans="1:13" ht="15">
      <c r="A70" t="s">
        <v>11</v>
      </c>
      <c r="B70" s="141">
        <f t="shared" si="20"/>
        <v>11737.393964382465</v>
      </c>
      <c r="C70" s="97">
        <v>6329</v>
      </c>
      <c r="D70" s="18">
        <f t="shared" si="21"/>
        <v>4083.0315781464033</v>
      </c>
      <c r="E70" s="99">
        <f t="shared" si="22"/>
        <v>10412.031578146403</v>
      </c>
      <c r="F70" s="97">
        <f t="shared" si="23"/>
        <v>5408.393964382465</v>
      </c>
      <c r="G70" s="18">
        <f t="shared" si="24"/>
        <v>1325.3623862360619</v>
      </c>
      <c r="H70" s="45">
        <f t="shared" si="25"/>
        <v>0.1272914297549613</v>
      </c>
      <c r="I70" s="13"/>
      <c r="J70" s="13"/>
      <c r="K70" s="13"/>
      <c r="L70" s="13"/>
      <c r="M70" s="14"/>
    </row>
    <row r="71" spans="1:13" ht="15">
      <c r="A71" t="s">
        <v>12</v>
      </c>
      <c r="B71" s="141">
        <f t="shared" si="20"/>
        <v>9748.796739421141</v>
      </c>
      <c r="C71" s="97">
        <v>7531</v>
      </c>
      <c r="D71" s="18">
        <f t="shared" si="21"/>
        <v>7831.754881218998</v>
      </c>
      <c r="E71" s="99">
        <f t="shared" si="22"/>
        <v>15362.754881218998</v>
      </c>
      <c r="F71" s="97">
        <f t="shared" si="23"/>
        <v>2217.796739421141</v>
      </c>
      <c r="G71" s="18">
        <f t="shared" si="24"/>
        <v>-5613.958141797857</v>
      </c>
      <c r="H71" s="45">
        <f t="shared" si="25"/>
        <v>-0.3654265257242979</v>
      </c>
      <c r="I71" s="13"/>
      <c r="J71" s="13"/>
      <c r="K71" s="13"/>
      <c r="L71" s="13"/>
      <c r="M71" s="14"/>
    </row>
    <row r="72" spans="1:13" ht="15">
      <c r="A72" t="s">
        <v>13</v>
      </c>
      <c r="B72" s="141">
        <f t="shared" si="20"/>
        <v>13593.070641627208</v>
      </c>
      <c r="C72" s="97">
        <v>9601</v>
      </c>
      <c r="D72" s="18">
        <f t="shared" si="21"/>
        <v>6268.149591670468</v>
      </c>
      <c r="E72" s="99">
        <f t="shared" si="22"/>
        <v>15869.149591670468</v>
      </c>
      <c r="F72" s="97">
        <f t="shared" si="23"/>
        <v>3992.070641627208</v>
      </c>
      <c r="G72" s="18">
        <f t="shared" si="24"/>
        <v>-2276.07895004326</v>
      </c>
      <c r="H72" s="45">
        <f t="shared" si="25"/>
        <v>-0.14342790940971076</v>
      </c>
      <c r="I72" s="13"/>
      <c r="J72" s="13"/>
      <c r="K72" s="13"/>
      <c r="L72" s="13"/>
      <c r="M72" s="14"/>
    </row>
    <row r="73" spans="1:13" ht="15">
      <c r="A73" t="s">
        <v>14</v>
      </c>
      <c r="B73" s="141">
        <f t="shared" si="20"/>
        <v>19004.389017949226</v>
      </c>
      <c r="C73" s="97">
        <v>10841</v>
      </c>
      <c r="D73" s="18">
        <f t="shared" si="21"/>
        <v>5349.378130252069</v>
      </c>
      <c r="E73" s="99">
        <f t="shared" si="22"/>
        <v>16190.37813025207</v>
      </c>
      <c r="F73" s="97">
        <f t="shared" si="23"/>
        <v>8163.389017949226</v>
      </c>
      <c r="G73" s="18">
        <f t="shared" si="24"/>
        <v>2814.010887697157</v>
      </c>
      <c r="H73" s="45">
        <f t="shared" si="25"/>
        <v>0.1738076075220947</v>
      </c>
      <c r="I73" s="13"/>
      <c r="J73" s="13"/>
      <c r="K73" s="13"/>
      <c r="L73" s="13"/>
      <c r="M73" s="14"/>
    </row>
    <row r="74" spans="1:13" ht="17.25">
      <c r="A74" t="s">
        <v>15</v>
      </c>
      <c r="B74" s="142">
        <f t="shared" si="20"/>
        <v>15888.537088655357</v>
      </c>
      <c r="C74" s="112">
        <v>10931</v>
      </c>
      <c r="D74" s="20">
        <f t="shared" si="21"/>
        <v>5410.594497031205</v>
      </c>
      <c r="E74" s="100">
        <f t="shared" si="22"/>
        <v>16341.594497031205</v>
      </c>
      <c r="F74" s="112">
        <f t="shared" si="23"/>
        <v>4957.537088655357</v>
      </c>
      <c r="G74" s="20">
        <f t="shared" si="24"/>
        <v>-453.05740837584744</v>
      </c>
      <c r="H74" s="145">
        <f t="shared" si="25"/>
        <v>-0.02772418618379956</v>
      </c>
      <c r="I74" s="13"/>
      <c r="J74" s="13"/>
      <c r="K74" s="13"/>
      <c r="L74" s="13"/>
      <c r="M74" s="14"/>
    </row>
    <row r="75" spans="1:13" ht="15">
      <c r="A75" t="s">
        <v>24</v>
      </c>
      <c r="B75" s="141">
        <f aca="true" t="shared" si="26" ref="B75:G75">SUM(B63:B74)</f>
        <v>132862.0667753475</v>
      </c>
      <c r="C75" s="97">
        <f t="shared" si="26"/>
        <v>79714.47529015562</v>
      </c>
      <c r="D75" s="18">
        <f t="shared" si="26"/>
        <v>53143.09161067727</v>
      </c>
      <c r="E75" s="140">
        <f t="shared" si="26"/>
        <v>132857.5669008329</v>
      </c>
      <c r="F75" s="97">
        <f t="shared" si="26"/>
        <v>53147.59148519191</v>
      </c>
      <c r="G75" s="225">
        <f t="shared" si="26"/>
        <v>4.499874514637668</v>
      </c>
      <c r="H75" s="45">
        <f t="shared" si="25"/>
        <v>3.386991512494316E-05</v>
      </c>
      <c r="I75" s="18">
        <f>MAX(0,MIN((1+B10)*E75,M55)-E75)</f>
        <v>4.49987451461493</v>
      </c>
      <c r="J75" s="18">
        <f>MAX(0,MIN((1+B11)*E75,M55)-(1+B10)*E75)</f>
        <v>0</v>
      </c>
      <c r="K75" s="18">
        <f>MAX(0,MIN((1+B12)*E75,M55)-(1+B11)*E75)</f>
        <v>0</v>
      </c>
      <c r="L75" s="18">
        <f>MAX(0,M55-(1+B12)*E75)</f>
        <v>0</v>
      </c>
      <c r="M75" s="29">
        <f>SUM(I75:L75)</f>
        <v>4.49987451461493</v>
      </c>
    </row>
    <row r="76" spans="2:13" ht="7.5" customHeight="1">
      <c r="B76" s="84"/>
      <c r="C76" s="24"/>
      <c r="D76" s="25"/>
      <c r="E76" s="26"/>
      <c r="F76" s="24"/>
      <c r="G76" s="25"/>
      <c r="H76" s="25"/>
      <c r="I76" s="25"/>
      <c r="J76" s="25"/>
      <c r="K76" s="103"/>
      <c r="L76" s="103"/>
      <c r="M76" s="104"/>
    </row>
    <row r="77" spans="6:8" ht="15">
      <c r="F77" s="72"/>
      <c r="H77" s="4"/>
    </row>
    <row r="78" spans="3:8" ht="15">
      <c r="C78" s="175">
        <f>C75/$E$75</f>
        <v>0.5999995118806882</v>
      </c>
      <c r="D78" s="175">
        <f>D75/$E$75</f>
        <v>0.4000004881193117</v>
      </c>
      <c r="E78" s="218">
        <f>SUM(C78:D78)</f>
        <v>1</v>
      </c>
      <c r="F78" s="2"/>
      <c r="H78" s="4"/>
    </row>
    <row r="79" spans="1:6" ht="15.75">
      <c r="A79" s="6" t="s">
        <v>120</v>
      </c>
      <c r="F79" s="41"/>
    </row>
    <row r="80" spans="2:12" ht="15.75">
      <c r="B80" s="74" t="s">
        <v>107</v>
      </c>
      <c r="C80" s="74" t="s">
        <v>105</v>
      </c>
      <c r="D80" s="71" t="s">
        <v>106</v>
      </c>
      <c r="E80" s="6" t="s">
        <v>24</v>
      </c>
      <c r="F80" s="299" t="s">
        <v>194</v>
      </c>
      <c r="G80" s="300"/>
      <c r="H80" s="300"/>
      <c r="I80" s="300"/>
      <c r="J80" s="301"/>
      <c r="K80" s="302" t="s">
        <v>131</v>
      </c>
      <c r="L80" s="74" t="s">
        <v>260</v>
      </c>
    </row>
    <row r="81" spans="6:13" ht="15" customHeight="1">
      <c r="F81" s="65" t="s">
        <v>118</v>
      </c>
      <c r="G81" s="66" t="s">
        <v>113</v>
      </c>
      <c r="H81" s="66" t="s">
        <v>114</v>
      </c>
      <c r="I81" s="66" t="s">
        <v>115</v>
      </c>
      <c r="J81" s="14" t="s">
        <v>43</v>
      </c>
      <c r="K81" s="302"/>
      <c r="M81" s="73"/>
    </row>
    <row r="82" spans="6:10" ht="15">
      <c r="F82" s="12"/>
      <c r="G82" s="13"/>
      <c r="H82" s="13"/>
      <c r="I82" s="13"/>
      <c r="J82" s="14"/>
    </row>
    <row r="83" spans="1:12" ht="15">
      <c r="A83" t="s">
        <v>4</v>
      </c>
      <c r="B83" s="40">
        <f>$B$4</f>
        <v>1053.03</v>
      </c>
      <c r="C83" s="40">
        <f aca="true" t="shared" si="27" ref="C83:C94">D63*$B$5*10</f>
        <v>182413.59607796793</v>
      </c>
      <c r="D83" s="40">
        <f aca="true" t="shared" si="28" ref="D83:D94">-F63*$B$6*10</f>
        <v>-378155.9693394975</v>
      </c>
      <c r="E83" s="40">
        <f aca="true" t="shared" si="29" ref="E83:E94">B83+C83+D83</f>
        <v>-194689.34326152958</v>
      </c>
      <c r="F83" s="12"/>
      <c r="G83" s="13"/>
      <c r="H83" s="13"/>
      <c r="I83" s="13"/>
      <c r="J83" s="14"/>
      <c r="K83" s="40"/>
      <c r="L83" s="37">
        <f>E83/E63</f>
        <v>-26.102505854102542</v>
      </c>
    </row>
    <row r="84" spans="1:12" ht="15">
      <c r="A84" t="s">
        <v>5</v>
      </c>
      <c r="B84" s="40">
        <f aca="true" t="shared" si="30" ref="B84:B94">$B$4</f>
        <v>1053.03</v>
      </c>
      <c r="C84" s="40">
        <f t="shared" si="27"/>
        <v>229794.43426212342</v>
      </c>
      <c r="D84" s="40">
        <f t="shared" si="28"/>
        <v>-217371.58764494033</v>
      </c>
      <c r="E84" s="40">
        <f t="shared" si="29"/>
        <v>13475.876617183094</v>
      </c>
      <c r="F84" s="12"/>
      <c r="G84" s="13"/>
      <c r="H84" s="13"/>
      <c r="I84" s="13"/>
      <c r="J84" s="14"/>
      <c r="K84" s="40"/>
      <c r="L84" s="37">
        <f aca="true" t="shared" si="31" ref="L84:L95">E84/E64</f>
        <v>1.861719145607823</v>
      </c>
    </row>
    <row r="85" spans="1:12" ht="15">
      <c r="A85" t="s">
        <v>6</v>
      </c>
      <c r="B85" s="40">
        <f t="shared" si="30"/>
        <v>1053.03</v>
      </c>
      <c r="C85" s="40">
        <f t="shared" si="27"/>
        <v>303378.48350585415</v>
      </c>
      <c r="D85" s="40">
        <f t="shared" si="28"/>
        <v>-221375.23400613994</v>
      </c>
      <c r="E85" s="40">
        <f t="shared" si="29"/>
        <v>83056.27949971423</v>
      </c>
      <c r="F85" s="12"/>
      <c r="G85" s="13"/>
      <c r="H85" s="13"/>
      <c r="I85" s="13"/>
      <c r="J85" s="14"/>
      <c r="K85" s="40"/>
      <c r="L85" s="37">
        <f t="shared" si="31"/>
        <v>9.95767472437963</v>
      </c>
    </row>
    <row r="86" spans="1:12" ht="15">
      <c r="A86" t="s">
        <v>7</v>
      </c>
      <c r="B86" s="40">
        <f t="shared" si="30"/>
        <v>1053.03</v>
      </c>
      <c r="C86" s="40">
        <f t="shared" si="27"/>
        <v>334169.17070076836</v>
      </c>
      <c r="D86" s="40">
        <f t="shared" si="28"/>
        <v>-246186.02795969197</v>
      </c>
      <c r="E86" s="40">
        <f t="shared" si="29"/>
        <v>89036.17274107641</v>
      </c>
      <c r="F86" s="12"/>
      <c r="G86" s="13"/>
      <c r="H86" s="13"/>
      <c r="I86" s="13"/>
      <c r="J86" s="14"/>
      <c r="K86" s="40"/>
      <c r="L86" s="37">
        <f t="shared" si="31"/>
        <v>10.73442879987539</v>
      </c>
    </row>
    <row r="87" spans="1:12" ht="15">
      <c r="A87" t="s">
        <v>8</v>
      </c>
      <c r="B87" s="40">
        <f t="shared" si="30"/>
        <v>1053.03</v>
      </c>
      <c r="C87" s="40">
        <f t="shared" si="27"/>
        <v>482208.23770115856</v>
      </c>
      <c r="D87" s="40">
        <f t="shared" si="28"/>
        <v>-153372.41456531108</v>
      </c>
      <c r="E87" s="40">
        <f t="shared" si="29"/>
        <v>329888.8531358475</v>
      </c>
      <c r="F87" s="12"/>
      <c r="G87" s="13"/>
      <c r="H87" s="13"/>
      <c r="I87" s="13"/>
      <c r="J87" s="14"/>
      <c r="K87" s="40"/>
      <c r="L87" s="37">
        <f t="shared" si="31"/>
        <v>37.10760894256787</v>
      </c>
    </row>
    <row r="88" spans="1:12" ht="15">
      <c r="A88" t="s">
        <v>9</v>
      </c>
      <c r="B88" s="40">
        <f t="shared" si="30"/>
        <v>1053.03</v>
      </c>
      <c r="C88" s="40">
        <f t="shared" si="27"/>
        <v>487283.7984456226</v>
      </c>
      <c r="D88" s="40">
        <f t="shared" si="28"/>
        <v>-27519.03378220932</v>
      </c>
      <c r="E88" s="40">
        <f t="shared" si="29"/>
        <v>460817.7946634133</v>
      </c>
      <c r="F88" s="12"/>
      <c r="G88" s="13"/>
      <c r="H88" s="13"/>
      <c r="I88" s="13"/>
      <c r="J88" s="14"/>
      <c r="K88" s="40"/>
      <c r="L88" s="37">
        <f t="shared" si="31"/>
        <v>53.20857721210922</v>
      </c>
    </row>
    <row r="89" spans="1:12" ht="15">
      <c r="A89" t="s">
        <v>10</v>
      </c>
      <c r="B89" s="40">
        <f t="shared" si="30"/>
        <v>1053.03</v>
      </c>
      <c r="C89" s="40">
        <f t="shared" si="27"/>
        <v>390848.497540051</v>
      </c>
      <c r="D89" s="40">
        <f t="shared" si="28"/>
        <v>-253142.625249558</v>
      </c>
      <c r="E89" s="40">
        <f t="shared" si="29"/>
        <v>138758.90229049302</v>
      </c>
      <c r="F89" s="12"/>
      <c r="G89" s="13"/>
      <c r="H89" s="13"/>
      <c r="I89" s="13"/>
      <c r="J89" s="14"/>
      <c r="K89" s="40"/>
      <c r="L89" s="37">
        <f t="shared" si="31"/>
        <v>14.161129742749935</v>
      </c>
    </row>
    <row r="90" spans="1:12" ht="15">
      <c r="A90" t="s">
        <v>11</v>
      </c>
      <c r="B90" s="40">
        <f t="shared" si="30"/>
        <v>1053.03</v>
      </c>
      <c r="C90" s="40">
        <f t="shared" si="27"/>
        <v>406629.11486760026</v>
      </c>
      <c r="D90" s="40">
        <f t="shared" si="28"/>
        <v>-285022.3619229559</v>
      </c>
      <c r="E90" s="40">
        <f t="shared" si="29"/>
        <v>122659.7829446444</v>
      </c>
      <c r="F90" s="12"/>
      <c r="G90" s="13"/>
      <c r="H90" s="13"/>
      <c r="I90" s="13"/>
      <c r="J90" s="14"/>
      <c r="K90" s="40"/>
      <c r="L90" s="37">
        <f t="shared" si="31"/>
        <v>11.780581150185183</v>
      </c>
    </row>
    <row r="91" spans="1:12" ht="15">
      <c r="A91" t="s">
        <v>12</v>
      </c>
      <c r="B91" s="40">
        <f t="shared" si="30"/>
        <v>1053.03</v>
      </c>
      <c r="C91" s="40">
        <f t="shared" si="27"/>
        <v>779964.4686206</v>
      </c>
      <c r="D91" s="40">
        <f t="shared" si="28"/>
        <v>-116877.88816749411</v>
      </c>
      <c r="E91" s="40">
        <f t="shared" si="29"/>
        <v>664139.6104531059</v>
      </c>
      <c r="F91" s="12"/>
      <c r="G91" s="13"/>
      <c r="H91" s="13"/>
      <c r="I91" s="13"/>
      <c r="J91" s="14"/>
      <c r="K91" s="40"/>
      <c r="L91" s="37">
        <f t="shared" si="31"/>
        <v>43.23050231472599</v>
      </c>
    </row>
    <row r="92" spans="1:12" ht="15">
      <c r="A92" t="s">
        <v>13</v>
      </c>
      <c r="B92" s="40">
        <f t="shared" si="30"/>
        <v>1053.03</v>
      </c>
      <c r="C92" s="40">
        <f t="shared" si="27"/>
        <v>624245.0178344619</v>
      </c>
      <c r="D92" s="40">
        <f t="shared" si="28"/>
        <v>-210382.12281375384</v>
      </c>
      <c r="E92" s="40">
        <f t="shared" si="29"/>
        <v>414915.92502070806</v>
      </c>
      <c r="F92" s="12"/>
      <c r="G92" s="13"/>
      <c r="H92" s="13"/>
      <c r="I92" s="13"/>
      <c r="J92" s="14"/>
      <c r="K92" s="40"/>
      <c r="L92" s="37">
        <f t="shared" si="31"/>
        <v>26.14607182469895</v>
      </c>
    </row>
    <row r="93" spans="1:12" ht="15">
      <c r="A93" t="s">
        <v>14</v>
      </c>
      <c r="B93" s="40">
        <f t="shared" si="30"/>
        <v>1053.03</v>
      </c>
      <c r="C93" s="40">
        <f t="shared" si="27"/>
        <v>532744.5679918035</v>
      </c>
      <c r="D93" s="40">
        <f t="shared" si="28"/>
        <v>-430210.6012459242</v>
      </c>
      <c r="E93" s="40">
        <f t="shared" si="29"/>
        <v>103586.99674587935</v>
      </c>
      <c r="F93" s="12"/>
      <c r="G93" s="13"/>
      <c r="H93" s="13"/>
      <c r="I93" s="13"/>
      <c r="J93" s="14"/>
      <c r="K93" s="40"/>
      <c r="L93" s="37">
        <f t="shared" si="31"/>
        <v>6.398059138120118</v>
      </c>
    </row>
    <row r="94" spans="1:12" ht="15">
      <c r="A94" t="s">
        <v>15</v>
      </c>
      <c r="B94" s="78">
        <f t="shared" si="30"/>
        <v>1053.03</v>
      </c>
      <c r="C94" s="78">
        <f t="shared" si="27"/>
        <v>538841.1059593377</v>
      </c>
      <c r="D94" s="78">
        <f t="shared" si="28"/>
        <v>-261262.2045721373</v>
      </c>
      <c r="E94" s="78">
        <f t="shared" si="29"/>
        <v>278631.93138720037</v>
      </c>
      <c r="F94" s="12"/>
      <c r="G94" s="13"/>
      <c r="H94" s="13"/>
      <c r="I94" s="13"/>
      <c r="J94" s="14"/>
      <c r="K94" s="78"/>
      <c r="L94" s="39">
        <f t="shared" si="31"/>
        <v>17.05047395698258</v>
      </c>
    </row>
    <row r="95" spans="1:12" ht="15">
      <c r="A95" t="s">
        <v>24</v>
      </c>
      <c r="B95" s="40">
        <f>SUM(B83:B94)</f>
        <v>12636.360000000002</v>
      </c>
      <c r="C95" s="40">
        <f>SUM(C83:C94)</f>
        <v>5292520.49350735</v>
      </c>
      <c r="D95" s="40">
        <f>SUM(D83:D94)</f>
        <v>-2800878.0712696137</v>
      </c>
      <c r="E95" s="40">
        <f>SUM(E83:E94)</f>
        <v>2504278.782237736</v>
      </c>
      <c r="F95" s="106">
        <f>($B$6-$D$10)*I75*10</f>
        <v>0</v>
      </c>
      <c r="G95" s="107">
        <f>($B$6-$D$11)*J75*10</f>
        <v>0</v>
      </c>
      <c r="H95" s="107">
        <f>($B$6-$D$12)*K75*10</f>
        <v>0</v>
      </c>
      <c r="I95" s="107">
        <f>($B$6-$D$13)*L75*10</f>
        <v>0</v>
      </c>
      <c r="J95" s="108">
        <f>SUM(F95:I95)</f>
        <v>0</v>
      </c>
      <c r="K95" s="40">
        <f>E95+J95</f>
        <v>2504278.782237736</v>
      </c>
      <c r="L95" s="37">
        <f t="shared" si="31"/>
        <v>18.84935002691244</v>
      </c>
    </row>
    <row r="97" ht="15">
      <c r="K97" s="37"/>
    </row>
    <row r="98" ht="15.75">
      <c r="A98" s="6" t="s">
        <v>184</v>
      </c>
    </row>
    <row r="99" ht="15">
      <c r="A99" t="s">
        <v>263</v>
      </c>
    </row>
    <row r="100" ht="15">
      <c r="A100" t="s">
        <v>195</v>
      </c>
    </row>
    <row r="101" ht="15">
      <c r="A101" t="s">
        <v>197</v>
      </c>
    </row>
    <row r="102" ht="15">
      <c r="A102" t="s">
        <v>208</v>
      </c>
    </row>
    <row r="103" ht="15">
      <c r="A103" t="s">
        <v>196</v>
      </c>
    </row>
    <row r="104" ht="15">
      <c r="A104" t="s">
        <v>226</v>
      </c>
    </row>
    <row r="105" spans="1:9" ht="15">
      <c r="A105" t="s">
        <v>227</v>
      </c>
      <c r="E105" s="194"/>
      <c r="F105" s="194"/>
      <c r="G105" s="194"/>
      <c r="H105" s="194"/>
      <c r="I105" s="194"/>
    </row>
  </sheetData>
  <sheetProtection/>
  <mergeCells count="20">
    <mergeCell ref="F80:J80"/>
    <mergeCell ref="K80:K81"/>
    <mergeCell ref="I41:K41"/>
    <mergeCell ref="F41:H41"/>
    <mergeCell ref="C41:E41"/>
    <mergeCell ref="L41:M41"/>
    <mergeCell ref="Z19:AB19"/>
    <mergeCell ref="AC19:AE19"/>
    <mergeCell ref="B19:D19"/>
    <mergeCell ref="E19:G19"/>
    <mergeCell ref="H19:J19"/>
    <mergeCell ref="K19:M19"/>
    <mergeCell ref="N19:P19"/>
    <mergeCell ref="Q19:S19"/>
    <mergeCell ref="B60:B61"/>
    <mergeCell ref="F60:M60"/>
    <mergeCell ref="C60:E60"/>
    <mergeCell ref="I61:M61"/>
    <mergeCell ref="T19:V19"/>
    <mergeCell ref="W19:Y19"/>
  </mergeCells>
  <printOptions/>
  <pageMargins left="0.7" right="0.7" top="0.75" bottom="0.75" header="0.3" footer="0.3"/>
  <pageSetup fitToHeight="3" fitToWidth="2" horizontalDpi="600" verticalDpi="600" orientation="landscape" pageOrder="overThenDown" paperSize="17" scale="82" r:id="rId3"/>
  <legacyDrawing r:id="rId2"/>
</worksheet>
</file>

<file path=xl/worksheets/sheet6.xml><?xml version="1.0" encoding="utf-8"?>
<worksheet xmlns="http://schemas.openxmlformats.org/spreadsheetml/2006/main" xmlns:r="http://schemas.openxmlformats.org/officeDocument/2006/relationships">
  <dimension ref="A1:AO88"/>
  <sheetViews>
    <sheetView zoomScale="85" zoomScaleNormal="85"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H68" sqref="H68"/>
    </sheetView>
  </sheetViews>
  <sheetFormatPr defaultColWidth="8.88671875" defaultRowHeight="15"/>
  <cols>
    <col min="1" max="1" width="24.5546875" style="0" bestFit="1" customWidth="1"/>
    <col min="2" max="2" width="14.21484375" style="0" bestFit="1" customWidth="1"/>
    <col min="3" max="3" width="11.4453125" style="0" customWidth="1"/>
    <col min="4" max="4" width="12.4453125" style="0" bestFit="1" customWidth="1"/>
    <col min="5" max="5" width="12.4453125" style="0" customWidth="1"/>
    <col min="6" max="6" width="13.4453125" style="0" bestFit="1" customWidth="1"/>
    <col min="7" max="7" width="13.10546875" style="0" customWidth="1"/>
    <col min="8" max="8" width="12.4453125" style="0" bestFit="1" customWidth="1"/>
    <col min="9" max="9" width="12.4453125" style="0" customWidth="1"/>
    <col min="10" max="10" width="13.4453125" style="0" bestFit="1" customWidth="1"/>
    <col min="11" max="11" width="15.77734375" style="0" bestFit="1" customWidth="1"/>
    <col min="12" max="12" width="15.99609375" style="0" bestFit="1" customWidth="1"/>
    <col min="13" max="13" width="15.99609375" style="0" customWidth="1"/>
    <col min="14" max="14" width="17.10546875" style="0" customWidth="1"/>
    <col min="15" max="15" width="12.3359375" style="0" bestFit="1" customWidth="1"/>
    <col min="16" max="16" width="12.4453125" style="0" bestFit="1" customWidth="1"/>
    <col min="17" max="17" width="12.4453125" style="0" customWidth="1"/>
    <col min="18" max="18" width="12.3359375" style="0" bestFit="1" customWidth="1"/>
    <col min="19" max="19" width="8.21484375" style="0" bestFit="1" customWidth="1"/>
    <col min="20" max="20" width="10.4453125" style="0" bestFit="1" customWidth="1"/>
    <col min="21" max="21" width="12.88671875" style="0" customWidth="1"/>
    <col min="22" max="22" width="11.4453125" style="0" bestFit="1" customWidth="1"/>
    <col min="23" max="23" width="8.21484375" style="0" bestFit="1" customWidth="1"/>
    <col min="24" max="24" width="11.4453125" style="0" bestFit="1" customWidth="1"/>
    <col min="25" max="25" width="13.6640625" style="0" customWidth="1"/>
    <col min="26" max="26" width="12.4453125" style="0" bestFit="1" customWidth="1"/>
    <col min="27" max="27" width="8.21484375" style="0" bestFit="1" customWidth="1"/>
    <col min="28" max="28" width="12.4453125" style="0" bestFit="1" customWidth="1"/>
    <col min="29" max="29" width="12.4453125" style="0" customWidth="1"/>
    <col min="30" max="30" width="12.4453125" style="0" bestFit="1" customWidth="1"/>
    <col min="31" max="31" width="8.21484375" style="0" bestFit="1" customWidth="1"/>
    <col min="32" max="32" width="13.5546875" style="0" bestFit="1" customWidth="1"/>
    <col min="33" max="33" width="13.5546875" style="0" customWidth="1"/>
    <col min="34" max="34" width="8.99609375" style="0" bestFit="1" customWidth="1"/>
    <col min="35" max="35" width="8.21484375" style="0" bestFit="1" customWidth="1"/>
    <col min="36" max="36" width="8.99609375" style="0" bestFit="1" customWidth="1"/>
    <col min="37" max="37" width="8.99609375" style="0" customWidth="1"/>
    <col min="38" max="38" width="10.99609375" style="0" bestFit="1" customWidth="1"/>
    <col min="39" max="39" width="11.21484375" style="0" bestFit="1" customWidth="1"/>
    <col min="40" max="40" width="11.99609375" style="0" bestFit="1" customWidth="1"/>
    <col min="41" max="41" width="12.6640625" style="0" customWidth="1"/>
    <col min="42" max="42" width="6.5546875" style="0" bestFit="1" customWidth="1"/>
    <col min="43" max="43" width="10.88671875" style="0" bestFit="1" customWidth="1"/>
    <col min="44" max="44" width="9.4453125" style="0" bestFit="1" customWidth="1"/>
    <col min="45" max="45" width="10.99609375" style="0" bestFit="1" customWidth="1"/>
    <col min="46" max="46" width="6.5546875" style="0" bestFit="1" customWidth="1"/>
    <col min="47" max="47" width="12.3359375" style="0" bestFit="1" customWidth="1"/>
    <col min="48" max="48" width="9.4453125" style="0" bestFit="1" customWidth="1"/>
    <col min="49" max="49" width="10.99609375" style="0" bestFit="1" customWidth="1"/>
    <col min="50" max="50" width="7.5546875" style="0" bestFit="1" customWidth="1"/>
    <col min="51" max="51" width="12.3359375" style="0" customWidth="1"/>
    <col min="52" max="52" width="9.4453125" style="0" bestFit="1" customWidth="1"/>
    <col min="53" max="53" width="7.5546875" style="0" bestFit="1" customWidth="1"/>
    <col min="54" max="54" width="7.5546875" style="0" customWidth="1"/>
    <col min="55" max="55" width="9.77734375" style="0" bestFit="1" customWidth="1"/>
    <col min="56" max="56" width="8.88671875" style="0" bestFit="1" customWidth="1"/>
    <col min="57" max="57" width="9.4453125" style="0" bestFit="1" customWidth="1"/>
    <col min="58" max="58" width="11.99609375" style="0" bestFit="1" customWidth="1"/>
    <col min="59" max="59" width="7.5546875" style="0" bestFit="1" customWidth="1"/>
    <col min="60" max="60" width="13.4453125" style="0" bestFit="1" customWidth="1"/>
  </cols>
  <sheetData>
    <row r="1" ht="20.25">
      <c r="A1" s="49" t="s">
        <v>133</v>
      </c>
    </row>
    <row r="2" ht="7.5" customHeight="1"/>
    <row r="3" spans="1:8" ht="18">
      <c r="A3" s="48" t="s">
        <v>124</v>
      </c>
      <c r="D3" s="80" t="s">
        <v>125</v>
      </c>
      <c r="E3" s="80"/>
      <c r="F3" s="70" t="s">
        <v>220</v>
      </c>
      <c r="G3" s="70" t="s">
        <v>129</v>
      </c>
      <c r="H3" t="s">
        <v>149</v>
      </c>
    </row>
    <row r="4" spans="1:8" ht="15">
      <c r="A4" t="s">
        <v>75</v>
      </c>
      <c r="B4" s="42">
        <v>1053.03</v>
      </c>
      <c r="C4" s="42"/>
      <c r="D4" t="s">
        <v>126</v>
      </c>
      <c r="F4">
        <f>'RtR Market EBS '!H4</f>
        <v>26.096</v>
      </c>
      <c r="G4" s="79" t="s">
        <v>130</v>
      </c>
      <c r="H4" s="9">
        <v>0.17</v>
      </c>
    </row>
    <row r="5" spans="1:8" ht="15">
      <c r="A5" t="s">
        <v>134</v>
      </c>
      <c r="B5" s="28">
        <v>5.37</v>
      </c>
      <c r="D5" t="s">
        <v>127</v>
      </c>
      <c r="F5">
        <f>'RtR Market EBS '!H5</f>
        <v>20</v>
      </c>
      <c r="G5" s="244" t="s">
        <v>130</v>
      </c>
      <c r="H5" s="245">
        <v>0.17</v>
      </c>
    </row>
    <row r="6" spans="1:8" ht="15">
      <c r="A6" t="s">
        <v>88</v>
      </c>
      <c r="B6" s="175">
        <v>0.0228</v>
      </c>
      <c r="D6" t="s">
        <v>179</v>
      </c>
      <c r="F6">
        <f>'RtR Market EBS '!H6</f>
        <v>60</v>
      </c>
      <c r="G6" s="79" t="s">
        <v>130</v>
      </c>
      <c r="H6" s="9">
        <v>0.17</v>
      </c>
    </row>
    <row r="7" spans="1:2" ht="15" customHeight="1">
      <c r="A7" t="s">
        <v>157</v>
      </c>
      <c r="B7" s="9">
        <v>0.2</v>
      </c>
    </row>
    <row r="8" ht="15" customHeight="1"/>
    <row r="9" ht="15.75">
      <c r="A9" s="6" t="s">
        <v>150</v>
      </c>
    </row>
    <row r="10" ht="15.75" thickBot="1"/>
    <row r="11" spans="1:13" ht="32.25" thickBot="1">
      <c r="A11" s="87" t="s">
        <v>135</v>
      </c>
      <c r="B11" s="88" t="s">
        <v>136</v>
      </c>
      <c r="C11" s="89" t="s">
        <v>137</v>
      </c>
      <c r="D11" s="89" t="s">
        <v>138</v>
      </c>
      <c r="E11" s="89" t="s">
        <v>139</v>
      </c>
      <c r="F11" s="89" t="s">
        <v>140</v>
      </c>
      <c r="H11" s="57"/>
      <c r="I11" s="57"/>
      <c r="J11" s="57"/>
      <c r="K11" s="57"/>
      <c r="L11" s="57"/>
      <c r="M11" s="57"/>
    </row>
    <row r="12" spans="1:13" ht="16.5" thickBot="1">
      <c r="A12" s="90" t="s">
        <v>141</v>
      </c>
      <c r="B12" s="91">
        <v>1</v>
      </c>
      <c r="C12" s="92">
        <v>1.2714927942628544</v>
      </c>
      <c r="D12" s="92">
        <v>1.6666487449388092</v>
      </c>
      <c r="E12" s="92">
        <v>2.172853094675599</v>
      </c>
      <c r="F12" s="92">
        <v>1.4662257329750643</v>
      </c>
      <c r="H12" s="60"/>
      <c r="I12" s="60"/>
      <c r="J12" s="60"/>
      <c r="K12" s="60"/>
      <c r="L12" s="60"/>
      <c r="M12" s="60"/>
    </row>
    <row r="13" spans="1:13" ht="16.5" thickBot="1">
      <c r="A13" s="90" t="s">
        <v>142</v>
      </c>
      <c r="B13" s="91">
        <v>1</v>
      </c>
      <c r="C13" s="92">
        <v>1.2065695712426763</v>
      </c>
      <c r="D13" s="92">
        <v>1.3162224465160597</v>
      </c>
      <c r="E13" s="92">
        <v>1.094187972027111</v>
      </c>
      <c r="F13" s="92">
        <v>1.2784933565323406</v>
      </c>
      <c r="H13" s="60"/>
      <c r="I13" s="60"/>
      <c r="J13" s="60"/>
      <c r="K13" s="60"/>
      <c r="L13" s="60"/>
      <c r="M13" s="60"/>
    </row>
    <row r="14" spans="1:13" ht="16.5" thickBot="1">
      <c r="A14" s="90" t="s">
        <v>143</v>
      </c>
      <c r="B14" s="91">
        <v>1</v>
      </c>
      <c r="C14" s="92">
        <v>1.1218552080447726</v>
      </c>
      <c r="D14" s="92">
        <v>1.3187844463585727</v>
      </c>
      <c r="E14" s="92">
        <v>1.0460061407192478</v>
      </c>
      <c r="F14" s="92">
        <v>1.1930284318041404</v>
      </c>
      <c r="H14" s="60"/>
      <c r="I14" s="60"/>
      <c r="J14" s="60"/>
      <c r="K14" s="60"/>
      <c r="L14" s="60"/>
      <c r="M14" s="60"/>
    </row>
    <row r="15" spans="1:13" ht="16.5" thickBot="1">
      <c r="A15" s="90" t="s">
        <v>144</v>
      </c>
      <c r="B15" s="91">
        <v>1</v>
      </c>
      <c r="C15" s="92">
        <v>1.04941130131678</v>
      </c>
      <c r="D15" s="92">
        <v>1.0357649465973229</v>
      </c>
      <c r="E15" s="92">
        <v>0.7844197450177258</v>
      </c>
      <c r="F15" s="92">
        <v>0.9865663018562636</v>
      </c>
      <c r="H15" s="60"/>
      <c r="I15" s="60"/>
      <c r="J15" s="60"/>
      <c r="K15" s="60"/>
      <c r="L15" s="60"/>
      <c r="M15" s="60"/>
    </row>
    <row r="16" spans="1:13" ht="16.5" thickBot="1">
      <c r="A16" s="90" t="s">
        <v>145</v>
      </c>
      <c r="B16" s="91">
        <v>1</v>
      </c>
      <c r="C16" s="92">
        <v>1.064765103985528</v>
      </c>
      <c r="D16" s="92">
        <v>1.010053046895945</v>
      </c>
      <c r="E16" s="92">
        <v>0.9380994313152438</v>
      </c>
      <c r="F16" s="92">
        <v>0.9959726068548973</v>
      </c>
      <c r="H16" s="60"/>
      <c r="I16" s="60"/>
      <c r="J16" s="60"/>
      <c r="K16" s="60"/>
      <c r="L16" s="60"/>
      <c r="M16" s="60"/>
    </row>
    <row r="17" spans="1:13" ht="16.5" thickBot="1">
      <c r="A17" s="93" t="s">
        <v>146</v>
      </c>
      <c r="B17" s="91">
        <v>1</v>
      </c>
      <c r="C17" s="92">
        <v>1.1412329484595483</v>
      </c>
      <c r="D17" s="92">
        <v>1.0771466823803892</v>
      </c>
      <c r="E17" s="92">
        <v>1.0072798586411082</v>
      </c>
      <c r="F17" s="92">
        <v>1.0203716687614206</v>
      </c>
      <c r="H17" s="60"/>
      <c r="I17" s="60"/>
      <c r="J17" s="60"/>
      <c r="K17" s="60"/>
      <c r="L17" s="60"/>
      <c r="M17" s="60"/>
    </row>
    <row r="18" spans="1:13" ht="16.5" thickBot="1">
      <c r="A18" s="90" t="s">
        <v>147</v>
      </c>
      <c r="B18" s="91">
        <v>1</v>
      </c>
      <c r="C18" s="92">
        <v>1.1016060374441505</v>
      </c>
      <c r="D18" s="92">
        <v>1.0269693443371721</v>
      </c>
      <c r="E18" s="92">
        <v>0.8946429504737813</v>
      </c>
      <c r="F18" s="92">
        <v>1.0855022431636072</v>
      </c>
      <c r="H18" s="60"/>
      <c r="I18" s="60"/>
      <c r="J18" s="60"/>
      <c r="K18" s="60"/>
      <c r="L18" s="60"/>
      <c r="M18" s="60"/>
    </row>
    <row r="19" spans="1:13" ht="16.5" thickBot="1">
      <c r="A19" s="90" t="s">
        <v>148</v>
      </c>
      <c r="B19" s="91">
        <v>1</v>
      </c>
      <c r="C19" s="92">
        <v>8.235149918096615</v>
      </c>
      <c r="D19" s="92">
        <v>7.8970863456839115</v>
      </c>
      <c r="E19" s="92">
        <v>7.678698436009922</v>
      </c>
      <c r="F19" s="92">
        <v>2.2753692214030896</v>
      </c>
      <c r="H19" s="60"/>
      <c r="I19" s="60"/>
      <c r="J19" s="60"/>
      <c r="K19" s="60"/>
      <c r="L19" s="60"/>
      <c r="M19" s="60"/>
    </row>
    <row r="20" spans="1:13" ht="15">
      <c r="A20" s="61"/>
      <c r="B20" s="59"/>
      <c r="C20" s="59"/>
      <c r="D20" s="60"/>
      <c r="E20" s="60"/>
      <c r="F20" s="60"/>
      <c r="H20" s="60"/>
      <c r="I20" s="60"/>
      <c r="J20" s="60"/>
      <c r="K20" s="60"/>
      <c r="L20" s="60"/>
      <c r="M20" s="60"/>
    </row>
    <row r="21" ht="15">
      <c r="B21" s="9"/>
    </row>
    <row r="22" spans="1:9" ht="18">
      <c r="A22" s="48" t="s">
        <v>90</v>
      </c>
      <c r="H22" s="37"/>
      <c r="I22" s="37"/>
    </row>
    <row r="23" spans="8:9" ht="15">
      <c r="H23" s="37"/>
      <c r="I23" s="37"/>
    </row>
    <row r="24" spans="1:9" ht="15.75">
      <c r="A24" s="6" t="s">
        <v>212</v>
      </c>
      <c r="H24" s="37"/>
      <c r="I24" s="37"/>
    </row>
    <row r="25" spans="1:9" ht="15.75">
      <c r="A25" s="6"/>
      <c r="H25" s="37"/>
      <c r="I25" s="37"/>
    </row>
    <row r="26" spans="2:41" ht="18" customHeight="1">
      <c r="B26" s="285" t="s">
        <v>0</v>
      </c>
      <c r="C26" s="286"/>
      <c r="D26" s="286"/>
      <c r="E26" s="263"/>
      <c r="F26" s="285" t="s">
        <v>92</v>
      </c>
      <c r="G26" s="286"/>
      <c r="H26" s="286"/>
      <c r="I26" s="263"/>
      <c r="J26" s="285" t="s">
        <v>1</v>
      </c>
      <c r="K26" s="286"/>
      <c r="L26" s="286"/>
      <c r="M26" s="263"/>
      <c r="N26" s="285" t="s">
        <v>17</v>
      </c>
      <c r="O26" s="286"/>
      <c r="P26" s="286"/>
      <c r="Q26" s="263"/>
      <c r="R26" s="285" t="s">
        <v>36</v>
      </c>
      <c r="S26" s="286"/>
      <c r="T26" s="286"/>
      <c r="U26" s="263"/>
      <c r="V26" s="285" t="s">
        <v>37</v>
      </c>
      <c r="W26" s="286"/>
      <c r="X26" s="286"/>
      <c r="Y26" s="263"/>
      <c r="Z26" s="285" t="s">
        <v>38</v>
      </c>
      <c r="AA26" s="286"/>
      <c r="AB26" s="286"/>
      <c r="AC26" s="263"/>
      <c r="AD26" s="285" t="s">
        <v>201</v>
      </c>
      <c r="AE26" s="286"/>
      <c r="AF26" s="286"/>
      <c r="AG26" s="263"/>
      <c r="AH26" s="285" t="s">
        <v>2</v>
      </c>
      <c r="AI26" s="286"/>
      <c r="AJ26" s="286"/>
      <c r="AK26" s="263"/>
      <c r="AL26" s="285" t="s">
        <v>24</v>
      </c>
      <c r="AM26" s="286"/>
      <c r="AN26" s="286"/>
      <c r="AO26" s="263"/>
    </row>
    <row r="27" spans="2:41" ht="60">
      <c r="B27" s="12" t="s">
        <v>91</v>
      </c>
      <c r="C27" s="13"/>
      <c r="D27" s="13" t="s">
        <v>93</v>
      </c>
      <c r="E27" s="146" t="s">
        <v>151</v>
      </c>
      <c r="F27" s="12" t="s">
        <v>91</v>
      </c>
      <c r="G27" s="13"/>
      <c r="H27" s="13" t="s">
        <v>93</v>
      </c>
      <c r="I27" s="146" t="s">
        <v>151</v>
      </c>
      <c r="J27" s="12" t="s">
        <v>91</v>
      </c>
      <c r="K27" s="13"/>
      <c r="L27" s="13" t="s">
        <v>93</v>
      </c>
      <c r="M27" s="146" t="s">
        <v>151</v>
      </c>
      <c r="N27" s="12" t="s">
        <v>91</v>
      </c>
      <c r="O27" s="13"/>
      <c r="P27" s="13" t="s">
        <v>93</v>
      </c>
      <c r="Q27" s="146" t="s">
        <v>151</v>
      </c>
      <c r="R27" s="12" t="s">
        <v>91</v>
      </c>
      <c r="S27" s="13"/>
      <c r="T27" s="13" t="s">
        <v>93</v>
      </c>
      <c r="U27" s="146" t="s">
        <v>151</v>
      </c>
      <c r="V27" s="12" t="s">
        <v>91</v>
      </c>
      <c r="W27" s="13"/>
      <c r="X27" s="13" t="s">
        <v>93</v>
      </c>
      <c r="Y27" s="146" t="s">
        <v>151</v>
      </c>
      <c r="Z27" s="12" t="s">
        <v>91</v>
      </c>
      <c r="AA27" s="13"/>
      <c r="AB27" s="13" t="s">
        <v>93</v>
      </c>
      <c r="AC27" s="146" t="s">
        <v>151</v>
      </c>
      <c r="AD27" s="12" t="s">
        <v>91</v>
      </c>
      <c r="AE27" s="13"/>
      <c r="AF27" s="13" t="s">
        <v>93</v>
      </c>
      <c r="AG27" s="146" t="s">
        <v>151</v>
      </c>
      <c r="AH27" s="12" t="s">
        <v>91</v>
      </c>
      <c r="AI27" s="13"/>
      <c r="AJ27" s="13" t="s">
        <v>93</v>
      </c>
      <c r="AK27" s="146" t="s">
        <v>151</v>
      </c>
      <c r="AL27" s="12" t="s">
        <v>180</v>
      </c>
      <c r="AM27" s="13" t="s">
        <v>152</v>
      </c>
      <c r="AN27" s="13" t="s">
        <v>93</v>
      </c>
      <c r="AO27" s="146" t="s">
        <v>151</v>
      </c>
    </row>
    <row r="28" spans="2:41" ht="15">
      <c r="B28" s="12" t="s">
        <v>97</v>
      </c>
      <c r="C28" s="13" t="s">
        <v>110</v>
      </c>
      <c r="D28" s="13" t="s">
        <v>97</v>
      </c>
      <c r="E28" s="14" t="s">
        <v>97</v>
      </c>
      <c r="F28" s="12" t="s">
        <v>97</v>
      </c>
      <c r="G28" s="13" t="s">
        <v>110</v>
      </c>
      <c r="H28" s="13" t="s">
        <v>97</v>
      </c>
      <c r="I28" s="14" t="s">
        <v>97</v>
      </c>
      <c r="J28" s="12" t="s">
        <v>97</v>
      </c>
      <c r="K28" s="13" t="s">
        <v>110</v>
      </c>
      <c r="L28" s="13" t="s">
        <v>97</v>
      </c>
      <c r="M28" s="14" t="s">
        <v>97</v>
      </c>
      <c r="N28" s="12" t="s">
        <v>97</v>
      </c>
      <c r="O28" s="13" t="s">
        <v>110</v>
      </c>
      <c r="P28" s="13" t="s">
        <v>97</v>
      </c>
      <c r="Q28" s="14" t="s">
        <v>97</v>
      </c>
      <c r="R28" s="12" t="s">
        <v>97</v>
      </c>
      <c r="S28" s="13" t="s">
        <v>110</v>
      </c>
      <c r="T28" s="13" t="s">
        <v>97</v>
      </c>
      <c r="U28" s="14" t="s">
        <v>97</v>
      </c>
      <c r="V28" s="12" t="s">
        <v>97</v>
      </c>
      <c r="W28" s="13" t="s">
        <v>110</v>
      </c>
      <c r="X28" s="13" t="s">
        <v>97</v>
      </c>
      <c r="Y28" s="14" t="s">
        <v>97</v>
      </c>
      <c r="Z28" s="12" t="s">
        <v>97</v>
      </c>
      <c r="AA28" s="13" t="s">
        <v>110</v>
      </c>
      <c r="AB28" s="13" t="s">
        <v>97</v>
      </c>
      <c r="AC28" s="14" t="s">
        <v>97</v>
      </c>
      <c r="AD28" s="12" t="s">
        <v>97</v>
      </c>
      <c r="AE28" s="13" t="s">
        <v>110</v>
      </c>
      <c r="AF28" s="13" t="s">
        <v>97</v>
      </c>
      <c r="AG28" s="14" t="s">
        <v>97</v>
      </c>
      <c r="AH28" s="12" t="s">
        <v>97</v>
      </c>
      <c r="AI28" s="13" t="s">
        <v>110</v>
      </c>
      <c r="AJ28" s="13" t="s">
        <v>97</v>
      </c>
      <c r="AK28" s="14" t="s">
        <v>97</v>
      </c>
      <c r="AL28" s="12" t="s">
        <v>181</v>
      </c>
      <c r="AM28" s="13" t="s">
        <v>110</v>
      </c>
      <c r="AN28" s="13" t="s">
        <v>97</v>
      </c>
      <c r="AO28" s="14" t="s">
        <v>97</v>
      </c>
    </row>
    <row r="29" spans="1:41" ht="15" customHeight="1" hidden="1">
      <c r="A29" t="s">
        <v>94</v>
      </c>
      <c r="B29" s="12">
        <v>0.9</v>
      </c>
      <c r="C29" s="13"/>
      <c r="D29" s="13"/>
      <c r="E29" s="14"/>
      <c r="F29" s="12">
        <v>0.9</v>
      </c>
      <c r="G29" s="13"/>
      <c r="H29" s="13"/>
      <c r="I29" s="14"/>
      <c r="J29" s="12">
        <v>0.9</v>
      </c>
      <c r="K29" s="13"/>
      <c r="L29" s="13"/>
      <c r="M29" s="14"/>
      <c r="N29" s="12">
        <v>0.9</v>
      </c>
      <c r="O29" s="13"/>
      <c r="P29" s="13"/>
      <c r="Q29" s="14"/>
      <c r="R29" s="12">
        <v>0.95</v>
      </c>
      <c r="S29" s="13"/>
      <c r="T29" s="13"/>
      <c r="U29" s="14"/>
      <c r="V29" s="12">
        <v>0.95</v>
      </c>
      <c r="W29" s="13"/>
      <c r="X29" s="13"/>
      <c r="Y29" s="14"/>
      <c r="Z29" s="12">
        <v>0.95</v>
      </c>
      <c r="AA29" s="13"/>
      <c r="AB29" s="13"/>
      <c r="AC29" s="14"/>
      <c r="AD29" s="12">
        <v>0.95</v>
      </c>
      <c r="AE29" s="13"/>
      <c r="AF29" s="13"/>
      <c r="AG29" s="14"/>
      <c r="AH29" s="12">
        <v>0.9</v>
      </c>
      <c r="AI29" s="13"/>
      <c r="AJ29" s="13"/>
      <c r="AK29" s="14"/>
      <c r="AL29" s="12"/>
      <c r="AM29" s="13"/>
      <c r="AN29" s="13"/>
      <c r="AO29" s="14"/>
    </row>
    <row r="30" spans="2:41" ht="15">
      <c r="B30" s="12"/>
      <c r="C30" s="13"/>
      <c r="D30" s="13"/>
      <c r="E30" s="14"/>
      <c r="F30" s="12"/>
      <c r="G30" s="13"/>
      <c r="H30" s="13"/>
      <c r="I30" s="14"/>
      <c r="J30" s="12"/>
      <c r="K30" s="13"/>
      <c r="L30" s="13"/>
      <c r="M30" s="14"/>
      <c r="N30" s="12"/>
      <c r="O30" s="13"/>
      <c r="P30" s="13"/>
      <c r="Q30" s="14"/>
      <c r="R30" s="12"/>
      <c r="S30" s="13"/>
      <c r="T30" s="13"/>
      <c r="U30" s="14"/>
      <c r="V30" s="12"/>
      <c r="W30" s="13"/>
      <c r="X30" s="13"/>
      <c r="Y30" s="14"/>
      <c r="Z30" s="12"/>
      <c r="AA30" s="13"/>
      <c r="AB30" s="13"/>
      <c r="AC30" s="14"/>
      <c r="AD30" s="12"/>
      <c r="AE30" s="13"/>
      <c r="AF30" s="13"/>
      <c r="AG30" s="14"/>
      <c r="AH30" s="12"/>
      <c r="AI30" s="13"/>
      <c r="AJ30" s="13"/>
      <c r="AK30" s="14"/>
      <c r="AL30" s="12"/>
      <c r="AM30" s="13"/>
      <c r="AN30" s="18"/>
      <c r="AO30" s="14"/>
    </row>
    <row r="31" spans="1:41" ht="15">
      <c r="A31" t="s">
        <v>4</v>
      </c>
      <c r="B31" s="124">
        <f>'Customer Usage database'!C45*'Customer Usage database'!C12</f>
        <v>747.5129183053688</v>
      </c>
      <c r="C31" s="45">
        <f>'COSS Losses'!B122</f>
        <v>0.10245575514839916</v>
      </c>
      <c r="D31" s="30">
        <f aca="true" t="shared" si="0" ref="D31:D42">B31*(1+C31)</f>
        <v>824.0999188335289</v>
      </c>
      <c r="E31" s="99">
        <f>D31*$B$12</f>
        <v>824.0999188335289</v>
      </c>
      <c r="F31" s="124">
        <f>'Customer Usage database'!D45*'Customer Usage database'!D12</f>
        <v>50.51648629210285</v>
      </c>
      <c r="G31" s="45">
        <f>'COSS Losses'!C122</f>
        <v>0.06629431582171758</v>
      </c>
      <c r="H31" s="30">
        <f>F31*(1+G31)</f>
        <v>53.86544218855498</v>
      </c>
      <c r="I31" s="99">
        <f>H31*$B$13</f>
        <v>53.86544218855498</v>
      </c>
      <c r="J31" s="124">
        <f>'Customer Usage database'!E45*'Customer Usage database'!E12</f>
        <v>718.6526136035266</v>
      </c>
      <c r="K31" s="45">
        <f>'COSS Losses'!D122</f>
        <v>0.04266405318941119</v>
      </c>
      <c r="L31" s="30">
        <f>J31*(1+K31)</f>
        <v>749.3132469350168</v>
      </c>
      <c r="M31" s="99">
        <f>L31*$B$14</f>
        <v>749.3132469350168</v>
      </c>
      <c r="N31" s="124">
        <f>'Customer Usage database'!F45*'Customer Usage database'!F12</f>
        <v>2628.4479645676147</v>
      </c>
      <c r="O31" s="45">
        <f>'COSS Losses'!E122</f>
        <v>0.035444420597991855</v>
      </c>
      <c r="P31" s="30">
        <f>N31*(1+O31)</f>
        <v>2721.6117797436846</v>
      </c>
      <c r="Q31" s="99">
        <f>P31*$B$15</f>
        <v>2721.6117797436846</v>
      </c>
      <c r="R31" s="124">
        <f>'Customer Usage database'!G45*'Customer Usage database'!G12</f>
        <v>158.62815837429963</v>
      </c>
      <c r="S31" s="45">
        <f>'COSS Losses'!F122</f>
        <v>0.025952495774755058</v>
      </c>
      <c r="T31" s="30">
        <f>R31*(1+S31)</f>
        <v>162.7449549842658</v>
      </c>
      <c r="U31" s="99">
        <f>T31*$B$16</f>
        <v>162.7449549842658</v>
      </c>
      <c r="V31" s="124">
        <f>'Customer Usage database'!H45*'Customer Usage database'!H12</f>
        <v>362.3099557888892</v>
      </c>
      <c r="W31" s="45">
        <f>'COSS Losses'!G122</f>
        <v>0.021109502494920218</v>
      </c>
      <c r="X31" s="30">
        <f>V31*(1+W31)</f>
        <v>369.9581387045492</v>
      </c>
      <c r="Y31" s="99">
        <f>X31*$B$17</f>
        <v>369.9581387045492</v>
      </c>
      <c r="Z31" s="124">
        <f>'Customer Usage database'!I45*'Customer Usage database'!I12</f>
        <v>6491.03904366144</v>
      </c>
      <c r="AA31" s="45">
        <f>'COSS Losses'!H122</f>
        <v>0.021109502494920218</v>
      </c>
      <c r="AB31" s="30">
        <f>Z31*(1+AA31)</f>
        <v>6628.061648548235</v>
      </c>
      <c r="AC31" s="99">
        <f>AB31*$B$18</f>
        <v>6628.061648548235</v>
      </c>
      <c r="AD31" s="124">
        <f>'Customer Usage database'!J45*'Customer Usage database'!J12</f>
        <v>0</v>
      </c>
      <c r="AE31" s="45">
        <v>0</v>
      </c>
      <c r="AF31" s="30">
        <f>AD31*(1+AE31)</f>
        <v>0</v>
      </c>
      <c r="AG31" s="99">
        <f>AF31*$B$18</f>
        <v>0</v>
      </c>
      <c r="AH31" s="124">
        <f>'Customer Usage database'!K45*'Customer Usage database'!K12</f>
        <v>30.738940173050572</v>
      </c>
      <c r="AI31" s="45">
        <f>'COSS Losses'!J122</f>
        <v>0.09947637052323316</v>
      </c>
      <c r="AJ31" s="30">
        <f>AH31*(1+AI31)</f>
        <v>33.79673837519645</v>
      </c>
      <c r="AK31" s="99">
        <f>AJ31*$B$19</f>
        <v>33.79673837519645</v>
      </c>
      <c r="AL31" s="97">
        <f aca="true" t="shared" si="1" ref="AL31:AL42">B31+F31+J31+N31+R31+V31+Z31+AD31+AH31</f>
        <v>11187.846080766292</v>
      </c>
      <c r="AM31" s="236">
        <f>AN31/AL31-1</f>
        <v>0.031785008926613845</v>
      </c>
      <c r="AN31" s="237">
        <f aca="true" t="shared" si="2" ref="AN31:AN42">D31+H31+L31+P31+T31+X31+AB31+AF31+AJ31</f>
        <v>11543.451868313032</v>
      </c>
      <c r="AO31" s="238">
        <f aca="true" t="shared" si="3" ref="AO31:AO42">E31+I31+M31+Q31+U31+Y31+AC31+AG31+AK31</f>
        <v>11543.451868313032</v>
      </c>
    </row>
    <row r="32" spans="1:41" ht="15">
      <c r="A32" t="s">
        <v>5</v>
      </c>
      <c r="B32" s="124">
        <f>'Customer Usage database'!C46*'Customer Usage database'!C13</f>
        <v>1276.994750774619</v>
      </c>
      <c r="C32" s="45">
        <f>'COSS Losses'!B123</f>
        <v>0.11464099196887495</v>
      </c>
      <c r="D32" s="30">
        <f t="shared" si="0"/>
        <v>1423.3906957424674</v>
      </c>
      <c r="E32" s="99">
        <f>D32*$B$12</f>
        <v>1423.3906957424674</v>
      </c>
      <c r="F32" s="124">
        <f>'Customer Usage database'!D46*'Customer Usage database'!D13</f>
        <v>73.58364168070409</v>
      </c>
      <c r="G32" s="45">
        <f>'COSS Losses'!C123</f>
        <v>0.06835944456990767</v>
      </c>
      <c r="H32" s="30">
        <f aca="true" t="shared" si="4" ref="H32:H42">F32*(1+G32)</f>
        <v>78.61377855542813</v>
      </c>
      <c r="I32" s="99">
        <f>H32*$B$13</f>
        <v>78.61377855542813</v>
      </c>
      <c r="J32" s="124">
        <f>'Customer Usage database'!E46*'Customer Usage database'!E13</f>
        <v>817.6823887625361</v>
      </c>
      <c r="K32" s="45">
        <f>'COSS Losses'!D123</f>
        <v>0.038088901262188835</v>
      </c>
      <c r="L32" s="30">
        <f aca="true" t="shared" si="5" ref="L32:L42">J32*(1+K32)</f>
        <v>848.827012531943</v>
      </c>
      <c r="M32" s="99">
        <f>L32*$B$14</f>
        <v>848.827012531943</v>
      </c>
      <c r="N32" s="124">
        <f>'Customer Usage database'!F46*'Customer Usage database'!F13</f>
        <v>2616.8569673396473</v>
      </c>
      <c r="O32" s="45">
        <f>'COSS Losses'!E123</f>
        <v>0.03138744253201159</v>
      </c>
      <c r="P32" s="30">
        <f aca="true" t="shared" si="6" ref="P32:P42">N32*(1+O32)</f>
        <v>2698.9934150165145</v>
      </c>
      <c r="Q32" s="99">
        <f>P32*$B$15</f>
        <v>2698.9934150165145</v>
      </c>
      <c r="R32" s="124">
        <f>'Customer Usage database'!G46*'Customer Usage database'!G13</f>
        <v>165.77829895737068</v>
      </c>
      <c r="S32" s="45">
        <f>'COSS Losses'!F123</f>
        <v>0.02755181814516</v>
      </c>
      <c r="T32" s="30">
        <f aca="true" t="shared" si="7" ref="T32:T42">R32*(1+S32)</f>
        <v>170.34579250265813</v>
      </c>
      <c r="U32" s="99">
        <f>T32*$B$16</f>
        <v>170.34579250265813</v>
      </c>
      <c r="V32" s="124">
        <f>'Customer Usage database'!H46*'Customer Usage database'!H13</f>
        <v>350.57953001597826</v>
      </c>
      <c r="W32" s="45">
        <f>'COSS Losses'!G123</f>
        <v>0.02386779165202385</v>
      </c>
      <c r="X32" s="30">
        <f aca="true" t="shared" si="8" ref="X32:X42">V32*(1+W32)</f>
        <v>358.94708919586407</v>
      </c>
      <c r="Y32" s="99">
        <f>X32*$B$17</f>
        <v>358.94708919586407</v>
      </c>
      <c r="Z32" s="124">
        <f>'Customer Usage database'!I46*'Customer Usage database'!I13</f>
        <v>6734.949130808353</v>
      </c>
      <c r="AA32" s="45">
        <f>'COSS Losses'!H123</f>
        <v>0.02386779165202385</v>
      </c>
      <c r="AB32" s="30">
        <f aca="true" t="shared" si="9" ref="AB32:AB42">Z32*(1+AA32)</f>
        <v>6895.697493449466</v>
      </c>
      <c r="AC32" s="99">
        <f>AB32*$B$18</f>
        <v>6895.697493449466</v>
      </c>
      <c r="AD32" s="124">
        <f>'Customer Usage database'!J46*'Customer Usage database'!J13</f>
        <v>0</v>
      </c>
      <c r="AE32" s="45">
        <v>0</v>
      </c>
      <c r="AF32" s="30">
        <f aca="true" t="shared" si="10" ref="AF32:AF42">AD32*(1+AE32)</f>
        <v>0</v>
      </c>
      <c r="AG32" s="99">
        <f>AF32*$B$18</f>
        <v>0</v>
      </c>
      <c r="AH32" s="124">
        <f>'Customer Usage database'!K46*'Customer Usage database'!K13</f>
        <v>55.2203776690194</v>
      </c>
      <c r="AI32" s="45">
        <f>'COSS Losses'!J123</f>
        <v>0.07642698174564094</v>
      </c>
      <c r="AJ32" s="30">
        <f aca="true" t="shared" si="11" ref="AJ32:AJ42">AH32*(1+AI32)</f>
        <v>59.44070446511694</v>
      </c>
      <c r="AK32" s="99">
        <f>AJ32*$B$19</f>
        <v>59.44070446511694</v>
      </c>
      <c r="AL32" s="97">
        <f t="shared" si="1"/>
        <v>12091.645086008226</v>
      </c>
      <c r="AM32" s="236">
        <f aca="true" t="shared" si="12" ref="AM32:AM43">AN32/AL32-1</f>
        <v>0.03660468797280503</v>
      </c>
      <c r="AN32" s="237">
        <f t="shared" si="2"/>
        <v>12534.255981459457</v>
      </c>
      <c r="AO32" s="238">
        <f t="shared" si="3"/>
        <v>12534.255981459457</v>
      </c>
    </row>
    <row r="33" spans="1:41" ht="15">
      <c r="A33" t="s">
        <v>6</v>
      </c>
      <c r="B33" s="124">
        <f>'Customer Usage database'!C47*'Customer Usage database'!C14</f>
        <v>1445.7428190838882</v>
      </c>
      <c r="C33" s="45">
        <f>'COSS Losses'!B124</f>
        <v>0.0915621305974646</v>
      </c>
      <c r="D33" s="30">
        <f t="shared" si="0"/>
        <v>1578.1181118951938</v>
      </c>
      <c r="E33" s="99">
        <f>D33*$C$12</f>
        <v>2006.56580777044</v>
      </c>
      <c r="F33" s="124">
        <f>'Customer Usage database'!D47*'Customer Usage database'!D14</f>
        <v>131.85509091499375</v>
      </c>
      <c r="G33" s="45">
        <f>'COSS Losses'!C124</f>
        <v>0.07151733936492738</v>
      </c>
      <c r="H33" s="30">
        <f t="shared" si="4"/>
        <v>141.2850161989547</v>
      </c>
      <c r="I33" s="99">
        <f>H33*$C$13</f>
        <v>170.47020141818734</v>
      </c>
      <c r="J33" s="124">
        <f>'Customer Usage database'!E47*'Customer Usage database'!E14</f>
        <v>1327.6941430961967</v>
      </c>
      <c r="K33" s="45">
        <f>'COSS Losses'!D124</f>
        <v>0.045685168918618235</v>
      </c>
      <c r="L33" s="30">
        <f t="shared" si="5"/>
        <v>1388.3500742958065</v>
      </c>
      <c r="M33" s="99">
        <f>L33*$C$14</f>
        <v>1557.5277614380975</v>
      </c>
      <c r="N33" s="124">
        <f>'Customer Usage database'!F47*'Customer Usage database'!F14</f>
        <v>2690.9940539714107</v>
      </c>
      <c r="O33" s="45">
        <f>'COSS Losses'!E124</f>
        <v>0.037260985085035225</v>
      </c>
      <c r="P33" s="30">
        <f t="shared" si="6"/>
        <v>2791.263143280358</v>
      </c>
      <c r="Q33" s="99">
        <f>P33*$C$15</f>
        <v>2929.183087507406</v>
      </c>
      <c r="R33" s="124">
        <f>'Customer Usage database'!G47*'Customer Usage database'!G14</f>
        <v>166.07608579320086</v>
      </c>
      <c r="S33" s="45">
        <f>'COSS Losses'!F124</f>
        <v>0.03430525669007195</v>
      </c>
      <c r="T33" s="30">
        <f t="shared" si="7"/>
        <v>171.77336854641902</v>
      </c>
      <c r="U33" s="99">
        <f>T33*$C$16</f>
        <v>182.89828862227228</v>
      </c>
      <c r="V33" s="124">
        <f>'Customer Usage database'!H47*'Customer Usage database'!H14</f>
        <v>632.4800587662368</v>
      </c>
      <c r="W33" s="45">
        <f>'COSS Losses'!G124</f>
        <v>0.027212681864590638</v>
      </c>
      <c r="X33" s="30">
        <f t="shared" si="8"/>
        <v>649.69153739114</v>
      </c>
      <c r="Y33" s="99">
        <f>X33*$C$17</f>
        <v>741.4493888061074</v>
      </c>
      <c r="Z33" s="124">
        <f>'Customer Usage database'!I47*'Customer Usage database'!I14</f>
        <v>6146.623227757713</v>
      </c>
      <c r="AA33" s="45">
        <f>'COSS Losses'!H124</f>
        <v>0.027212681864590638</v>
      </c>
      <c r="AB33" s="30">
        <f t="shared" si="9"/>
        <v>6313.889330196186</v>
      </c>
      <c r="AC33" s="99">
        <f>AB33*$C$18</f>
        <v>6955.418605898322</v>
      </c>
      <c r="AD33" s="124">
        <f>'Customer Usage database'!J47*'Customer Usage database'!J14</f>
        <v>0</v>
      </c>
      <c r="AE33" s="45">
        <v>0</v>
      </c>
      <c r="AF33" s="30">
        <f t="shared" si="10"/>
        <v>0</v>
      </c>
      <c r="AG33" s="99">
        <f>AF33*$C$18</f>
        <v>0</v>
      </c>
      <c r="AH33" s="124">
        <f>'Customer Usage database'!K47*'Customer Usage database'!K14</f>
        <v>7.542528459991896</v>
      </c>
      <c r="AI33" s="45">
        <f>'COSS Losses'!J124</f>
        <v>0.044608020388643255</v>
      </c>
      <c r="AJ33" s="30">
        <f t="shared" si="11"/>
        <v>7.878985723317136</v>
      </c>
      <c r="AK33" s="99">
        <f>AJ33*$C$19</f>
        <v>64.88462863405951</v>
      </c>
      <c r="AL33" s="97">
        <f t="shared" si="1"/>
        <v>12549.008007843631</v>
      </c>
      <c r="AM33" s="236">
        <f t="shared" si="12"/>
        <v>0.03930522312006235</v>
      </c>
      <c r="AN33" s="237">
        <f t="shared" si="2"/>
        <v>13042.249567527375</v>
      </c>
      <c r="AO33" s="238">
        <f t="shared" si="3"/>
        <v>14608.397770094893</v>
      </c>
    </row>
    <row r="34" spans="1:41" ht="15">
      <c r="A34" t="s">
        <v>7</v>
      </c>
      <c r="B34" s="124">
        <f>'Customer Usage database'!C48*'Customer Usage database'!C15</f>
        <v>1629.5407663014064</v>
      </c>
      <c r="C34" s="45">
        <f>'COSS Losses'!B125</f>
        <v>0.08261804630560327</v>
      </c>
      <c r="D34" s="30">
        <f t="shared" si="0"/>
        <v>1764.1702407885641</v>
      </c>
      <c r="E34" s="99">
        <f>D34*$C$12</f>
        <v>2243.129749015624</v>
      </c>
      <c r="F34" s="124">
        <f>'Customer Usage database'!D48*'Customer Usage database'!D15</f>
        <v>86.04320982084148</v>
      </c>
      <c r="G34" s="45">
        <f>'COSS Losses'!C125</f>
        <v>0.055108242487055537</v>
      </c>
      <c r="H34" s="30">
        <f t="shared" si="4"/>
        <v>90.78489989201302</v>
      </c>
      <c r="I34" s="99">
        <f>H34*$C$13</f>
        <v>109.53829773801543</v>
      </c>
      <c r="J34" s="124">
        <f>'Customer Usage database'!E48*'Customer Usage database'!E15</f>
        <v>1453.344961244751</v>
      </c>
      <c r="K34" s="45">
        <f>'COSS Losses'!D125</f>
        <v>0.03222372101791887</v>
      </c>
      <c r="L34" s="30">
        <f t="shared" si="5"/>
        <v>1500.1771438186997</v>
      </c>
      <c r="M34" s="99">
        <f>L34*$C$14</f>
        <v>1682.9815417827401</v>
      </c>
      <c r="N34" s="124">
        <f>'Customer Usage database'!F48*'Customer Usage database'!F15</f>
        <v>2371.1514781250457</v>
      </c>
      <c r="O34" s="45">
        <f>'COSS Losses'!E125</f>
        <v>0.02960964169136765</v>
      </c>
      <c r="P34" s="30">
        <f t="shared" si="6"/>
        <v>2441.360423788285</v>
      </c>
      <c r="Q34" s="99">
        <f>P34*$C$15</f>
        <v>2561.99121931095</v>
      </c>
      <c r="R34" s="124">
        <f>'Customer Usage database'!G48*'Customer Usage database'!G15</f>
        <v>157.75558073807713</v>
      </c>
      <c r="S34" s="45">
        <f>'COSS Losses'!F125</f>
        <v>0.026257403531212475</v>
      </c>
      <c r="T34" s="30">
        <f t="shared" si="7"/>
        <v>161.89783268081757</v>
      </c>
      <c r="U34" s="99">
        <f>T34*$C$16</f>
        <v>172.38316264942233</v>
      </c>
      <c r="V34" s="124">
        <f>'Customer Usage database'!H48*'Customer Usage database'!H15</f>
        <v>627.9193308831057</v>
      </c>
      <c r="W34" s="45">
        <f>'COSS Losses'!G125</f>
        <v>0.022437073380623895</v>
      </c>
      <c r="X34" s="30">
        <f t="shared" si="8"/>
        <v>642.0080029872421</v>
      </c>
      <c r="Y34" s="99">
        <f>X34*$C$17</f>
        <v>732.6806861837567</v>
      </c>
      <c r="Z34" s="124">
        <f>'Customer Usage database'!I48*'Customer Usage database'!I15</f>
        <v>6371.508656259001</v>
      </c>
      <c r="AA34" s="45">
        <f>'COSS Losses'!H125</f>
        <v>0.022437073380623895</v>
      </c>
      <c r="AB34" s="30">
        <f t="shared" si="9"/>
        <v>6514.466663524765</v>
      </c>
      <c r="AC34" s="99">
        <f>AB34*$C$18</f>
        <v>7176.375807267533</v>
      </c>
      <c r="AD34" s="124">
        <f>'Customer Usage database'!J48*'Customer Usage database'!J15</f>
        <v>0</v>
      </c>
      <c r="AE34" s="45">
        <v>0</v>
      </c>
      <c r="AF34" s="30">
        <f t="shared" si="10"/>
        <v>0</v>
      </c>
      <c r="AG34" s="99">
        <f>AF34*$C$18</f>
        <v>0</v>
      </c>
      <c r="AH34" s="124">
        <f>'Customer Usage database'!K48*'Customer Usage database'!K15</f>
        <v>11.56781537793451</v>
      </c>
      <c r="AI34" s="45">
        <f>'COSS Losses'!J125</f>
        <v>0.039708388866840416</v>
      </c>
      <c r="AJ34" s="30">
        <f t="shared" si="11"/>
        <v>12.02715468930135</v>
      </c>
      <c r="AK34" s="99">
        <f>AJ34*$C$19</f>
        <v>99.04542195453533</v>
      </c>
      <c r="AL34" s="97">
        <f t="shared" si="1"/>
        <v>12708.831798750163</v>
      </c>
      <c r="AM34" s="236">
        <f t="shared" si="12"/>
        <v>0.032895278656582594</v>
      </c>
      <c r="AN34" s="237">
        <f t="shared" si="2"/>
        <v>13126.892362169689</v>
      </c>
      <c r="AO34" s="238">
        <f t="shared" si="3"/>
        <v>14778.125885902577</v>
      </c>
    </row>
    <row r="35" spans="1:41" ht="15">
      <c r="A35" t="s">
        <v>8</v>
      </c>
      <c r="B35" s="124">
        <f>'Customer Usage database'!C49*'Customer Usage database'!C16</f>
        <v>1536.5398059144218</v>
      </c>
      <c r="C35" s="45">
        <f>'COSS Losses'!B126</f>
        <v>0.07358673241127539</v>
      </c>
      <c r="D35" s="30">
        <f t="shared" si="0"/>
        <v>1649.6087494515193</v>
      </c>
      <c r="E35" s="99">
        <f>D35*$D$12</f>
        <v>2749.318351913453</v>
      </c>
      <c r="F35" s="124">
        <f>'Customer Usage database'!D49*'Customer Usage database'!D16</f>
        <v>132.08903776854902</v>
      </c>
      <c r="G35" s="45">
        <f>'COSS Losses'!C126</f>
        <v>0.06288468915329198</v>
      </c>
      <c r="H35" s="30">
        <f t="shared" si="4"/>
        <v>140.39541584918166</v>
      </c>
      <c r="I35" s="99">
        <f>H35*$D$13</f>
        <v>184.79159772864946</v>
      </c>
      <c r="J35" s="124">
        <f>'Customer Usage database'!E49*'Customer Usage database'!E16</f>
        <v>1725.201983188925</v>
      </c>
      <c r="K35" s="45">
        <f>'COSS Losses'!D126</f>
        <v>0.03909173293992413</v>
      </c>
      <c r="L35" s="30">
        <f t="shared" si="5"/>
        <v>1792.6431183831737</v>
      </c>
      <c r="M35" s="99">
        <f>L35*$D$14</f>
        <v>2364.109862395459</v>
      </c>
      <c r="N35" s="124">
        <f>'Customer Usage database'!F49*'Customer Usage database'!F16</f>
        <v>2796.7680140944417</v>
      </c>
      <c r="O35" s="45">
        <f>'COSS Losses'!E126</f>
        <v>0.03581243624867586</v>
      </c>
      <c r="P35" s="30">
        <f t="shared" si="6"/>
        <v>2896.9270903015345</v>
      </c>
      <c r="Q35" s="99">
        <f>P35*$D$15</f>
        <v>3000.535532982507</v>
      </c>
      <c r="R35" s="124">
        <f>'Customer Usage database'!G49*'Customer Usage database'!G16</f>
        <v>237.25548654440652</v>
      </c>
      <c r="S35" s="45">
        <f>'COSS Losses'!F126</f>
        <v>0.032471116015112156</v>
      </c>
      <c r="T35" s="30">
        <f t="shared" si="7"/>
        <v>244.9594369732118</v>
      </c>
      <c r="U35" s="99">
        <f>T35*$D$16</f>
        <v>247.42202568070778</v>
      </c>
      <c r="V35" s="124">
        <f>'Customer Usage database'!H49*'Customer Usage database'!H16</f>
        <v>676.4374733281462</v>
      </c>
      <c r="W35" s="45">
        <f>'COSS Losses'!G126</f>
        <v>0.030302491005565202</v>
      </c>
      <c r="X35" s="30">
        <f t="shared" si="8"/>
        <v>696.9352137794996</v>
      </c>
      <c r="Y35" s="99">
        <f>X35*$D$17</f>
        <v>750.7014533566553</v>
      </c>
      <c r="Z35" s="124">
        <f>'Customer Usage database'!I49*'Customer Usage database'!I16</f>
        <v>6575.498582749103</v>
      </c>
      <c r="AA35" s="45">
        <f>'COSS Losses'!H126</f>
        <v>0.030302491005565202</v>
      </c>
      <c r="AB35" s="30">
        <f t="shared" si="9"/>
        <v>6774.752569409964</v>
      </c>
      <c r="AC35" s="99">
        <f>AB35*$D$18</f>
        <v>6957.463204253523</v>
      </c>
      <c r="AD35" s="124">
        <f>'Customer Usage database'!J49*'Customer Usage database'!J16</f>
        <v>0</v>
      </c>
      <c r="AE35" s="45">
        <v>0</v>
      </c>
      <c r="AF35" s="30">
        <f t="shared" si="10"/>
        <v>0</v>
      </c>
      <c r="AG35" s="99">
        <f>AF35*$D$18</f>
        <v>0</v>
      </c>
      <c r="AH35" s="124">
        <f>'Customer Usage database'!K49*'Customer Usage database'!K16</f>
        <v>14.706185807077862</v>
      </c>
      <c r="AI35" s="45">
        <f>'COSS Losses'!J126</f>
        <v>0.022363247200017755</v>
      </c>
      <c r="AJ35" s="30">
        <f t="shared" si="11"/>
        <v>15.035063875650936</v>
      </c>
      <c r="AK35" s="99">
        <f>AJ35*$D$19</f>
        <v>118.73319763888844</v>
      </c>
      <c r="AL35" s="97">
        <f t="shared" si="1"/>
        <v>13694.496569395069</v>
      </c>
      <c r="AM35" s="236">
        <f t="shared" si="12"/>
        <v>0.037734872984198864</v>
      </c>
      <c r="AN35" s="237">
        <f t="shared" si="2"/>
        <v>14211.256658023738</v>
      </c>
      <c r="AO35" s="238">
        <f t="shared" si="3"/>
        <v>16373.075225949844</v>
      </c>
    </row>
    <row r="36" spans="1:41" ht="15">
      <c r="A36" t="s">
        <v>9</v>
      </c>
      <c r="B36" s="124">
        <f>'Customer Usage database'!C50*'Customer Usage database'!C17</f>
        <v>1868.277195520378</v>
      </c>
      <c r="C36" s="45">
        <f>'COSS Losses'!B127</f>
        <v>0.06600010566204834</v>
      </c>
      <c r="D36" s="30">
        <f t="shared" si="0"/>
        <v>1991.5836878307182</v>
      </c>
      <c r="E36" s="99">
        <f>D36*$D$12</f>
        <v>3319.270453763672</v>
      </c>
      <c r="F36" s="124">
        <f>'Customer Usage database'!D50*'Customer Usage database'!D17</f>
        <v>119.03434549293527</v>
      </c>
      <c r="G36" s="45">
        <f>'COSS Losses'!C127</f>
        <v>0.048757083818753044</v>
      </c>
      <c r="H36" s="30">
        <f t="shared" si="4"/>
        <v>124.83811305344472</v>
      </c>
      <c r="I36" s="99">
        <f>H36*$D$13</f>
        <v>164.31472658165345</v>
      </c>
      <c r="J36" s="124">
        <f>'Customer Usage database'!E50*'Customer Usage database'!E17</f>
        <v>1603.8367780603207</v>
      </c>
      <c r="K36" s="45">
        <f>'COSS Losses'!D127</f>
        <v>0.02459800692987707</v>
      </c>
      <c r="L36" s="30">
        <f t="shared" si="5"/>
        <v>1643.2879662414402</v>
      </c>
      <c r="M36" s="99">
        <f>L36*$D$14</f>
        <v>2167.142610767423</v>
      </c>
      <c r="N36" s="124">
        <f>'Customer Usage database'!F50*'Customer Usage database'!F17</f>
        <v>2351.0221804315856</v>
      </c>
      <c r="O36" s="45">
        <f>'COSS Losses'!E127</f>
        <v>0.02254731478272226</v>
      </c>
      <c r="P36" s="30">
        <f t="shared" si="6"/>
        <v>2404.0314175949384</v>
      </c>
      <c r="Q36" s="99">
        <f>P36*$D$15</f>
        <v>2490.0114728635076</v>
      </c>
      <c r="R36" s="124">
        <f>'Customer Usage database'!G50*'Customer Usage database'!G17</f>
        <v>188.40907702774132</v>
      </c>
      <c r="S36" s="45">
        <f>'COSS Losses'!F127</f>
        <v>0.019540590258472268</v>
      </c>
      <c r="T36" s="30">
        <f t="shared" si="7"/>
        <v>192.09070160291733</v>
      </c>
      <c r="U36" s="99">
        <f>T36*$D$16</f>
        <v>194.02179843440643</v>
      </c>
      <c r="V36" s="124">
        <f>'Customer Usage database'!H50*'Customer Usage database'!H17</f>
        <v>658.9190505428429</v>
      </c>
      <c r="W36" s="45">
        <f>'COSS Losses'!G127</f>
        <v>0.019270456076237397</v>
      </c>
      <c r="X36" s="30">
        <f t="shared" si="8"/>
        <v>671.6167211641248</v>
      </c>
      <c r="Y36" s="99">
        <f>X36*$D$17</f>
        <v>723.429723033132</v>
      </c>
      <c r="Z36" s="124">
        <f>'Customer Usage database'!I50*'Customer Usage database'!I17</f>
        <v>6853.804833135547</v>
      </c>
      <c r="AA36" s="45">
        <f>'COSS Losses'!H127</f>
        <v>0.019270456076237397</v>
      </c>
      <c r="AB36" s="30">
        <f t="shared" si="9"/>
        <v>6985.880778127588</v>
      </c>
      <c r="AC36" s="99">
        <f>AB36*$D$18</f>
        <v>7174.285402331343</v>
      </c>
      <c r="AD36" s="124">
        <f>'Customer Usage database'!J50*'Customer Usage database'!J17</f>
        <v>0</v>
      </c>
      <c r="AE36" s="45">
        <v>0</v>
      </c>
      <c r="AF36" s="30">
        <f t="shared" si="10"/>
        <v>0</v>
      </c>
      <c r="AG36" s="99">
        <f>AF36*$D$18</f>
        <v>0</v>
      </c>
      <c r="AH36" s="124">
        <f>'Customer Usage database'!K50*'Customer Usage database'!K17</f>
        <v>15.749271972208735</v>
      </c>
      <c r="AI36" s="45">
        <f>'COSS Losses'!J127</f>
        <v>0.007233785945787663</v>
      </c>
      <c r="AJ36" s="30">
        <f t="shared" si="11"/>
        <v>15.863198834457686</v>
      </c>
      <c r="AK36" s="99">
        <f>AJ36*$D$19</f>
        <v>125.27305091446473</v>
      </c>
      <c r="AL36" s="97">
        <f t="shared" si="1"/>
        <v>13659.05273218356</v>
      </c>
      <c r="AM36" s="236">
        <f t="shared" si="12"/>
        <v>0.027098500864115138</v>
      </c>
      <c r="AN36" s="237">
        <f t="shared" si="2"/>
        <v>14029.192584449629</v>
      </c>
      <c r="AO36" s="238">
        <f t="shared" si="3"/>
        <v>16357.749238689601</v>
      </c>
    </row>
    <row r="37" spans="1:41" ht="15">
      <c r="A37" t="s">
        <v>10</v>
      </c>
      <c r="B37" s="124">
        <f>'Customer Usage database'!C51*'Customer Usage database'!C18</f>
        <v>1582.332506495016</v>
      </c>
      <c r="C37" s="45">
        <f>'COSS Losses'!B128</f>
        <v>0.04690583885500371</v>
      </c>
      <c r="D37" s="30">
        <f t="shared" si="0"/>
        <v>1656.5531400597054</v>
      </c>
      <c r="E37" s="99">
        <f>D37*$E$12</f>
        <v>3599.4466168733115</v>
      </c>
      <c r="F37" s="124">
        <f>'Customer Usage database'!D51*'Customer Usage database'!D18</f>
        <v>182.01441597849887</v>
      </c>
      <c r="G37" s="45">
        <f>'COSS Losses'!C128</f>
        <v>0.04935880893735117</v>
      </c>
      <c r="H37" s="30">
        <f t="shared" si="4"/>
        <v>190.99843076062515</v>
      </c>
      <c r="I37" s="99">
        <f>H37*$E$13</f>
        <v>208.988185614329</v>
      </c>
      <c r="J37" s="124">
        <f>'Customer Usage database'!E51*'Customer Usage database'!E18</f>
        <v>2410.6831812880387</v>
      </c>
      <c r="K37" s="45">
        <f>'COSS Losses'!D128</f>
        <v>0.03566310973062842</v>
      </c>
      <c r="L37" s="30">
        <f t="shared" si="5"/>
        <v>2496.6556401080943</v>
      </c>
      <c r="M37" s="99">
        <f>L37*$E$14</f>
        <v>2611.517130814411</v>
      </c>
      <c r="N37" s="124">
        <f>'Customer Usage database'!F51*'Customer Usage database'!F18</f>
        <v>3285.975711806134</v>
      </c>
      <c r="O37" s="45">
        <f>'COSS Losses'!E128</f>
        <v>0.02948493050439721</v>
      </c>
      <c r="P37" s="30">
        <f t="shared" si="6"/>
        <v>3382.8624773078745</v>
      </c>
      <c r="Q37" s="99">
        <f>P37*$E$15</f>
        <v>2653.584121879875</v>
      </c>
      <c r="R37" s="124">
        <f>'Customer Usage database'!G51*'Customer Usage database'!G18</f>
        <v>313.1913318034372</v>
      </c>
      <c r="S37" s="45">
        <f>'COSS Losses'!F128</f>
        <v>0.01965489674663773</v>
      </c>
      <c r="T37" s="30">
        <f t="shared" si="7"/>
        <v>319.3470750919757</v>
      </c>
      <c r="U37" s="99">
        <f>T37*$E$16</f>
        <v>299.57930953596883</v>
      </c>
      <c r="V37" s="124">
        <f>'Customer Usage database'!H51*'Customer Usage database'!H18</f>
        <v>742.3216049588615</v>
      </c>
      <c r="W37" s="45">
        <f>'COSS Losses'!G128</f>
        <v>0.01872506228624432</v>
      </c>
      <c r="X37" s="30">
        <f t="shared" si="8"/>
        <v>756.221623248141</v>
      </c>
      <c r="Y37" s="99">
        <f>X37*$E$17</f>
        <v>761.7268097667369</v>
      </c>
      <c r="Z37" s="124">
        <f>'Customer Usage database'!I51*'Customer Usage database'!I18</f>
        <v>7661.143748258565</v>
      </c>
      <c r="AA37" s="45">
        <f>'COSS Losses'!H128</f>
        <v>0.01872506228624432</v>
      </c>
      <c r="AB37" s="30">
        <f t="shared" si="9"/>
        <v>7804.599142128578</v>
      </c>
      <c r="AC37" s="99">
        <f>AB37*$E$18</f>
        <v>6982.329603779053</v>
      </c>
      <c r="AD37" s="124">
        <f>'Customer Usage database'!J51*'Customer Usage database'!J18</f>
        <v>0</v>
      </c>
      <c r="AE37" s="45">
        <v>0</v>
      </c>
      <c r="AF37" s="30">
        <f t="shared" si="10"/>
        <v>0</v>
      </c>
      <c r="AG37" s="99">
        <f>AF37*$E$18</f>
        <v>0</v>
      </c>
      <c r="AH37" s="124">
        <f>'Customer Usage database'!K51*'Customer Usage database'!K18</f>
        <v>20.85969838148784</v>
      </c>
      <c r="AI37" s="45">
        <f>'COSS Losses'!J128</f>
        <v>0.01838937459924056</v>
      </c>
      <c r="AJ37" s="30">
        <f t="shared" si="11"/>
        <v>21.24329518905219</v>
      </c>
      <c r="AK37" s="99">
        <f>AJ37*$E$19</f>
        <v>163.12085754387215</v>
      </c>
      <c r="AL37" s="97">
        <f t="shared" si="1"/>
        <v>16198.522198970039</v>
      </c>
      <c r="AM37" s="236">
        <f t="shared" si="12"/>
        <v>0.026543077179679075</v>
      </c>
      <c r="AN37" s="237">
        <f t="shared" si="2"/>
        <v>16628.480823894046</v>
      </c>
      <c r="AO37" s="238">
        <f t="shared" si="3"/>
        <v>17280.292635807557</v>
      </c>
    </row>
    <row r="38" spans="1:41" ht="15">
      <c r="A38" t="s">
        <v>11</v>
      </c>
      <c r="B38" s="124">
        <f>'Customer Usage database'!C52*'Customer Usage database'!C19</f>
        <v>1936.2038974777497</v>
      </c>
      <c r="C38" s="45">
        <f>'COSS Losses'!B129</f>
        <v>0.06247914915991576</v>
      </c>
      <c r="D38" s="30">
        <f t="shared" si="0"/>
        <v>2057.176269592272</v>
      </c>
      <c r="E38" s="99">
        <f>D38*$E$12</f>
        <v>4469.941823676772</v>
      </c>
      <c r="F38" s="124">
        <f>'Customer Usage database'!D52*'Customer Usage database'!D19</f>
        <v>189.50773872300118</v>
      </c>
      <c r="G38" s="45">
        <f>'COSS Losses'!C129</f>
        <v>0.06087802900042122</v>
      </c>
      <c r="H38" s="30">
        <f t="shared" si="4"/>
        <v>201.04459633678428</v>
      </c>
      <c r="I38" s="99">
        <f>H38*$E$13</f>
        <v>219.98057915275515</v>
      </c>
      <c r="J38" s="124">
        <f>'Customer Usage database'!E52*'Customer Usage database'!E19</f>
        <v>2573.802775427037</v>
      </c>
      <c r="K38" s="45">
        <f>'COSS Losses'!D129</f>
        <v>0.043238592706953904</v>
      </c>
      <c r="L38" s="30">
        <f t="shared" si="5"/>
        <v>2685.090385341754</v>
      </c>
      <c r="M38" s="99">
        <f>L38*$E$14</f>
        <v>2808.621031453686</v>
      </c>
      <c r="N38" s="124">
        <f>'Customer Usage database'!F52*'Customer Usage database'!F19</f>
        <v>3423.9512394289495</v>
      </c>
      <c r="O38" s="45">
        <f>'COSS Losses'!E129</f>
        <v>0.039913281290298086</v>
      </c>
      <c r="P38" s="30">
        <f t="shared" si="6"/>
        <v>3560.612368372542</v>
      </c>
      <c r="Q38" s="99">
        <f>P38*$E$15</f>
        <v>2793.01464610575</v>
      </c>
      <c r="R38" s="124">
        <f>'Customer Usage database'!G52*'Customer Usage database'!G19</f>
        <v>338.1409475937031</v>
      </c>
      <c r="S38" s="45">
        <f>'COSS Losses'!F129</f>
        <v>0.026946919129612834</v>
      </c>
      <c r="T38" s="30">
        <f t="shared" si="7"/>
        <v>347.25280436292127</v>
      </c>
      <c r="U38" s="99">
        <f>T38*$E$16</f>
        <v>325.75765829548004</v>
      </c>
      <c r="V38" s="124">
        <f>'Customer Usage database'!H52*'Customer Usage database'!H19</f>
        <v>702.4864176943937</v>
      </c>
      <c r="W38" s="45">
        <f>'COSS Losses'!G129</f>
        <v>0.02608237416038023</v>
      </c>
      <c r="X38" s="30">
        <f t="shared" si="8"/>
        <v>720.808931283284</v>
      </c>
      <c r="Y38" s="99">
        <f>X38*$E$17</f>
        <v>726.0563184102746</v>
      </c>
      <c r="Z38" s="124">
        <f>'Customer Usage database'!I52*'Customer Usage database'!I19</f>
        <v>7759.0127508572305</v>
      </c>
      <c r="AA38" s="45">
        <f>'COSS Losses'!H129</f>
        <v>0.02608237416038023</v>
      </c>
      <c r="AB38" s="30">
        <f t="shared" si="9"/>
        <v>7961.38622454025</v>
      </c>
      <c r="AC38" s="99">
        <f>AB38*$E$18</f>
        <v>7122.598061784007</v>
      </c>
      <c r="AD38" s="124">
        <f>'Customer Usage database'!J52*'Customer Usage database'!J19</f>
        <v>0</v>
      </c>
      <c r="AE38" s="45">
        <v>0</v>
      </c>
      <c r="AF38" s="30">
        <f t="shared" si="10"/>
        <v>0</v>
      </c>
      <c r="AG38" s="99">
        <f>AF38*$E$18</f>
        <v>0</v>
      </c>
      <c r="AH38" s="124">
        <f>'Customer Usage database'!K52*'Customer Usage database'!K19</f>
        <v>23.116181898430966</v>
      </c>
      <c r="AI38" s="45">
        <f>'COSS Losses'!J129</f>
        <v>0.022699213185519984</v>
      </c>
      <c r="AJ38" s="30">
        <f t="shared" si="11"/>
        <v>23.640901039378708</v>
      </c>
      <c r="AK38" s="99">
        <f>AJ38*$E$19</f>
        <v>181.53134983694264</v>
      </c>
      <c r="AL38" s="97">
        <f t="shared" si="1"/>
        <v>16946.221949100494</v>
      </c>
      <c r="AM38" s="236">
        <f t="shared" si="12"/>
        <v>0.03604287336748313</v>
      </c>
      <c r="AN38" s="237">
        <f t="shared" si="2"/>
        <v>17557.012480869187</v>
      </c>
      <c r="AO38" s="238">
        <f t="shared" si="3"/>
        <v>18647.50146871567</v>
      </c>
    </row>
    <row r="39" spans="1:41" ht="15">
      <c r="A39" t="s">
        <v>12</v>
      </c>
      <c r="B39" s="124">
        <f>'Customer Usage database'!C53*'Customer Usage database'!C20</f>
        <v>2256.071815601653</v>
      </c>
      <c r="C39" s="45">
        <f>'COSS Losses'!B130</f>
        <v>0.053380208792822625</v>
      </c>
      <c r="D39" s="30">
        <f t="shared" si="0"/>
        <v>2376.5014001700715</v>
      </c>
      <c r="E39" s="99">
        <f>D39*$E$12</f>
        <v>5163.788421860434</v>
      </c>
      <c r="F39" s="124">
        <f>'Customer Usage database'!D53*'Customer Usage database'!D20</f>
        <v>203.04152245189425</v>
      </c>
      <c r="G39" s="45">
        <f>'COSS Losses'!C130</f>
        <v>0.044657393135726864</v>
      </c>
      <c r="H39" s="30">
        <f t="shared" si="4"/>
        <v>212.108827542905</v>
      </c>
      <c r="I39" s="99">
        <f>H39*$E$13</f>
        <v>232.08692785821947</v>
      </c>
      <c r="J39" s="124">
        <f>'Customer Usage database'!E53*'Customer Usage database'!E20</f>
        <v>2819.066150839372</v>
      </c>
      <c r="K39" s="45">
        <f>'COSS Losses'!D130</f>
        <v>0.032804409123538714</v>
      </c>
      <c r="L39" s="30">
        <f t="shared" si="5"/>
        <v>2911.543950197826</v>
      </c>
      <c r="M39" s="99">
        <f>L39*$E$14</f>
        <v>3045.4928508809016</v>
      </c>
      <c r="N39" s="124">
        <f>'Customer Usage database'!F53*'Customer Usage database'!F20</f>
        <v>3484.615459513863</v>
      </c>
      <c r="O39" s="45">
        <f>'COSS Losses'!E130</f>
        <v>0.02043393696377921</v>
      </c>
      <c r="P39" s="30">
        <f t="shared" si="6"/>
        <v>3555.8198721565795</v>
      </c>
      <c r="Q39" s="99">
        <f>P39*$E$15</f>
        <v>2789.2553174460268</v>
      </c>
      <c r="R39" s="124">
        <f>'Customer Usage database'!G53*'Customer Usage database'!G20</f>
        <v>322.0938209900902</v>
      </c>
      <c r="S39" s="45">
        <f>'COSS Losses'!F130</f>
        <v>0.016143793170109222</v>
      </c>
      <c r="T39" s="30">
        <f t="shared" si="7"/>
        <v>327.29363701752436</v>
      </c>
      <c r="U39" s="99">
        <f>T39*$E$16</f>
        <v>307.0339747592374</v>
      </c>
      <c r="V39" s="124">
        <f>'Customer Usage database'!H53*'Customer Usage database'!H20</f>
        <v>707.0097809209468</v>
      </c>
      <c r="W39" s="45">
        <f>'COSS Losses'!G130</f>
        <v>0.015361604626041026</v>
      </c>
      <c r="X39" s="30">
        <f t="shared" si="8"/>
        <v>717.8705856421982</v>
      </c>
      <c r="Y39" s="99">
        <f>X39*$E$17</f>
        <v>723.096582028283</v>
      </c>
      <c r="Z39" s="124">
        <f>'Customer Usage database'!I53*'Customer Usage database'!I20</f>
        <v>7804.822249042212</v>
      </c>
      <c r="AA39" s="45">
        <f>'COSS Losses'!H130</f>
        <v>0.015361604626041026</v>
      </c>
      <c r="AB39" s="30">
        <f t="shared" si="9"/>
        <v>7924.716842608526</v>
      </c>
      <c r="AC39" s="99">
        <f>AB39*$E$18</f>
        <v>7089.79205774056</v>
      </c>
      <c r="AD39" s="124">
        <f>'Customer Usage database'!J53*'Customer Usage database'!J20</f>
        <v>8699.163129273822</v>
      </c>
      <c r="AE39" s="45">
        <v>0</v>
      </c>
      <c r="AF39" s="30">
        <f t="shared" si="10"/>
        <v>8699.163129273822</v>
      </c>
      <c r="AG39" s="99">
        <f>AF39*$E$18</f>
        <v>7782.644968626264</v>
      </c>
      <c r="AH39" s="124">
        <f>'Customer Usage database'!K53*'Customer Usage database'!K20</f>
        <v>25.02311893100399</v>
      </c>
      <c r="AI39" s="45">
        <f>'COSS Losses'!J130</f>
        <v>0.025359681012537216</v>
      </c>
      <c r="AJ39" s="30">
        <f t="shared" si="11"/>
        <v>25.65769724503303</v>
      </c>
      <c r="AK39" s="99">
        <f>AJ39*$E$19</f>
        <v>197.0177197070512</v>
      </c>
      <c r="AL39" s="97">
        <f t="shared" si="1"/>
        <v>26320.90704756486</v>
      </c>
      <c r="AM39" s="236">
        <f t="shared" si="12"/>
        <v>0.016328042704341073</v>
      </c>
      <c r="AN39" s="237">
        <f t="shared" si="2"/>
        <v>26750.67594185449</v>
      </c>
      <c r="AO39" s="238">
        <f t="shared" si="3"/>
        <v>27330.208820906977</v>
      </c>
    </row>
    <row r="40" spans="1:41" ht="15">
      <c r="A40" t="s">
        <v>13</v>
      </c>
      <c r="B40" s="124">
        <f>'Customer Usage database'!C54*'Customer Usage database'!C21</f>
        <v>3148.8210736171804</v>
      </c>
      <c r="C40" s="45">
        <f>'COSS Losses'!B131</f>
        <v>0.06972948632554915</v>
      </c>
      <c r="D40" s="30">
        <f t="shared" si="0"/>
        <v>3368.3867496115704</v>
      </c>
      <c r="E40" s="99">
        <f>D40*$F$12</f>
        <v>4938.815330892719</v>
      </c>
      <c r="F40" s="124">
        <f>'Customer Usage database'!D54*'Customer Usage database'!D21</f>
        <v>196.5185297614177</v>
      </c>
      <c r="G40" s="45">
        <f>'COSS Losses'!C131</f>
        <v>0.0446887816190496</v>
      </c>
      <c r="H40" s="30">
        <f t="shared" si="4"/>
        <v>205.3007034220224</v>
      </c>
      <c r="I40" s="99">
        <f>H40*$F$13</f>
        <v>262.47558541647203</v>
      </c>
      <c r="J40" s="124">
        <f>'Customer Usage database'!E54*'Customer Usage database'!E21</f>
        <v>2483.6959258705424</v>
      </c>
      <c r="K40" s="45">
        <f>'COSS Losses'!D131</f>
        <v>0.036030723212358506</v>
      </c>
      <c r="L40" s="30">
        <f t="shared" si="5"/>
        <v>2573.185286319246</v>
      </c>
      <c r="M40" s="99">
        <f>L40*$F$14</f>
        <v>3069.8832068789384</v>
      </c>
      <c r="N40" s="124">
        <f>'Customer Usage database'!F54*'Customer Usage database'!F21</f>
        <v>2781.2478062438945</v>
      </c>
      <c r="O40" s="45">
        <f>'COSS Losses'!E131</f>
        <v>0.030933672983476213</v>
      </c>
      <c r="P40" s="30">
        <f t="shared" si="6"/>
        <v>2867.2820163682536</v>
      </c>
      <c r="Q40" s="99">
        <f>P40*$F$15</f>
        <v>2828.7638152673985</v>
      </c>
      <c r="R40" s="124">
        <f>'Customer Usage database'!G54*'Customer Usage database'!G21</f>
        <v>345.8969758344675</v>
      </c>
      <c r="S40" s="45">
        <f>'COSS Losses'!F131</f>
        <v>0.027936622663096655</v>
      </c>
      <c r="T40" s="30">
        <f t="shared" si="7"/>
        <v>355.5601691286613</v>
      </c>
      <c r="U40" s="99">
        <f>T40*$F$16</f>
        <v>354.128188540841</v>
      </c>
      <c r="V40" s="124">
        <f>'Customer Usage database'!H54*'Customer Usage database'!H21</f>
        <v>1069.0570152123864</v>
      </c>
      <c r="W40" s="45">
        <f>'COSS Losses'!G131</f>
        <v>0.024521208007875217</v>
      </c>
      <c r="X40" s="30">
        <f t="shared" si="8"/>
        <v>1095.2715846546876</v>
      </c>
      <c r="Y40" s="99">
        <f>X40*$F$17</f>
        <v>1117.5840945810692</v>
      </c>
      <c r="Z40" s="124">
        <f>'Customer Usage database'!I54*'Customer Usage database'!I21</f>
        <v>7002.229160553907</v>
      </c>
      <c r="AA40" s="45">
        <f>'COSS Losses'!H131</f>
        <v>0.024521208007875217</v>
      </c>
      <c r="AB40" s="30">
        <f t="shared" si="9"/>
        <v>7173.932278318658</v>
      </c>
      <c r="AC40" s="99">
        <f>AB40*$F$18</f>
        <v>7787.319580418711</v>
      </c>
      <c r="AD40" s="124">
        <f>'Customer Usage database'!J54*'Customer Usage database'!J21</f>
        <v>7872.859360130632</v>
      </c>
      <c r="AE40" s="45">
        <v>0</v>
      </c>
      <c r="AF40" s="30">
        <f t="shared" si="10"/>
        <v>7872.859360130632</v>
      </c>
      <c r="AG40" s="99">
        <f>AF40*$F$18</f>
        <v>8546.006495533402</v>
      </c>
      <c r="AH40" s="124">
        <f>'Customer Usage database'!K54*'Customer Usage database'!K21</f>
        <v>21.877558901431755</v>
      </c>
      <c r="AI40" s="45">
        <f>'COSS Losses'!J131</f>
        <v>0.032252187622569706</v>
      </c>
      <c r="AJ40" s="30">
        <f t="shared" si="11"/>
        <v>22.58315803584455</v>
      </c>
      <c r="AK40" s="99">
        <f>AJ40*$F$19</f>
        <v>51.38502271684254</v>
      </c>
      <c r="AL40" s="97">
        <f t="shared" si="1"/>
        <v>24922.20340612586</v>
      </c>
      <c r="AM40" s="236">
        <f t="shared" si="12"/>
        <v>0.024562751932007965</v>
      </c>
      <c r="AN40" s="237">
        <f t="shared" si="2"/>
        <v>25534.361305989576</v>
      </c>
      <c r="AO40" s="238">
        <f t="shared" si="3"/>
        <v>28956.361320246397</v>
      </c>
    </row>
    <row r="41" spans="1:41" ht="15">
      <c r="A41" t="s">
        <v>14</v>
      </c>
      <c r="B41" s="124">
        <f>'Customer Usage database'!C55*'Customer Usage database'!C22</f>
        <v>4408.443387794206</v>
      </c>
      <c r="C41" s="45">
        <f>'COSS Losses'!B132</f>
        <v>0.0856582226553842</v>
      </c>
      <c r="D41" s="30">
        <f t="shared" si="0"/>
        <v>4786.062813069538</v>
      </c>
      <c r="E41" s="99">
        <f>D41*$F$12</f>
        <v>7017.448456157581</v>
      </c>
      <c r="F41" s="124">
        <f>'Customer Usage database'!D55*'Customer Usage database'!D22</f>
        <v>216.96378793417523</v>
      </c>
      <c r="G41" s="45">
        <f>'COSS Losses'!C132</f>
        <v>0.05385511413405136</v>
      </c>
      <c r="H41" s="30">
        <f t="shared" si="4"/>
        <v>228.64839749632634</v>
      </c>
      <c r="I41" s="99">
        <f>H41*$F$13</f>
        <v>292.3254571808191</v>
      </c>
      <c r="J41" s="124">
        <f>'Customer Usage database'!E55*'Customer Usage database'!E22</f>
        <v>2581.513655081081</v>
      </c>
      <c r="K41" s="45">
        <f>'COSS Losses'!D132</f>
        <v>0.03141256048864888</v>
      </c>
      <c r="L41" s="30">
        <f t="shared" si="5"/>
        <v>2662.6056089235885</v>
      </c>
      <c r="M41" s="99">
        <f>L41*$F$14</f>
        <v>3176.5641941270173</v>
      </c>
      <c r="N41" s="124">
        <f>'Customer Usage database'!F55*'Customer Usage database'!F22</f>
        <v>2622.696208962875</v>
      </c>
      <c r="O41" s="45">
        <f>'COSS Losses'!E132</f>
        <v>0.028729724366265474</v>
      </c>
      <c r="P41" s="30">
        <f t="shared" si="6"/>
        <v>2698.0455481428276</v>
      </c>
      <c r="Q41" s="99">
        <f>P41*$F$15</f>
        <v>2661.800818671025</v>
      </c>
      <c r="R41" s="124">
        <f>'Customer Usage database'!G55*'Customer Usage database'!G22</f>
        <v>300.04482626428586</v>
      </c>
      <c r="S41" s="45">
        <f>'COSS Losses'!F132</f>
        <v>0.025233734337307745</v>
      </c>
      <c r="T41" s="30">
        <f t="shared" si="7"/>
        <v>307.61607769952246</v>
      </c>
      <c r="U41" s="99">
        <f>T41*$F$16</f>
        <v>306.37718681687204</v>
      </c>
      <c r="V41" s="124">
        <f>'Customer Usage database'!H55*'Customer Usage database'!H22</f>
        <v>1050.6175419469669</v>
      </c>
      <c r="W41" s="45">
        <f>'COSS Losses'!G132</f>
        <v>0.019983868497539803</v>
      </c>
      <c r="X41" s="30">
        <f t="shared" si="8"/>
        <v>1071.6129447464434</v>
      </c>
      <c r="Y41" s="99">
        <f>X41*$F$17</f>
        <v>1093.4434886972685</v>
      </c>
      <c r="Z41" s="124">
        <f>'Customer Usage database'!I55*'Customer Usage database'!I22</f>
        <v>5729.3554227565955</v>
      </c>
      <c r="AA41" s="45">
        <f>'COSS Losses'!H132</f>
        <v>0.019983868497539803</v>
      </c>
      <c r="AB41" s="30">
        <f t="shared" si="9"/>
        <v>5843.85010810063</v>
      </c>
      <c r="AC41" s="99">
        <f>AB41*$F$18</f>
        <v>6343.512401055122</v>
      </c>
      <c r="AD41" s="124">
        <f>'Customer Usage database'!J55*'Customer Usage database'!J22</f>
        <v>6414.055710294545</v>
      </c>
      <c r="AE41" s="45">
        <v>0</v>
      </c>
      <c r="AF41" s="30">
        <f t="shared" si="10"/>
        <v>6414.055710294545</v>
      </c>
      <c r="AG41" s="99">
        <f>AF41*$F$18</f>
        <v>6962.471861301073</v>
      </c>
      <c r="AH41" s="124">
        <f>'Customer Usage database'!K55*'Customer Usage database'!K22</f>
        <v>165.84517525754285</v>
      </c>
      <c r="AI41" s="45">
        <f>'COSS Losses'!J132</f>
        <v>0.05279705279769026</v>
      </c>
      <c r="AJ41" s="30">
        <f t="shared" si="11"/>
        <v>174.60131173185752</v>
      </c>
      <c r="AK41" s="99">
        <f>AJ41*$F$19</f>
        <v>397.28245073127476</v>
      </c>
      <c r="AL41" s="97">
        <f t="shared" si="1"/>
        <v>23489.535716292274</v>
      </c>
      <c r="AM41" s="236">
        <f t="shared" si="12"/>
        <v>0.029696747195781192</v>
      </c>
      <c r="AN41" s="237">
        <f t="shared" si="2"/>
        <v>24187.09852020528</v>
      </c>
      <c r="AO41" s="238">
        <f t="shared" si="3"/>
        <v>28251.226314738054</v>
      </c>
    </row>
    <row r="42" spans="1:41" ht="15">
      <c r="A42" t="s">
        <v>15</v>
      </c>
      <c r="B42" s="124">
        <f>'Customer Usage database'!C56*'Customer Usage database'!C23</f>
        <v>5951.027312498203</v>
      </c>
      <c r="C42" s="45">
        <f>'COSS Losses'!B133</f>
        <v>0.11328594585678481</v>
      </c>
      <c r="D42" s="30">
        <f t="shared" si="0"/>
        <v>6625.195070414122</v>
      </c>
      <c r="E42" s="99">
        <f>D42*$B$12</f>
        <v>6625.195070414122</v>
      </c>
      <c r="F42" s="124">
        <f>'Customer Usage database'!D56*'Customer Usage database'!D23</f>
        <v>275.1453923466096</v>
      </c>
      <c r="G42" s="45">
        <f>'COSS Losses'!C133</f>
        <v>0.0689471551535828</v>
      </c>
      <c r="H42" s="30">
        <f t="shared" si="4"/>
        <v>294.11588440252467</v>
      </c>
      <c r="I42" s="99">
        <f>H42*$B$13</f>
        <v>294.11588440252467</v>
      </c>
      <c r="J42" s="124">
        <f>'Customer Usage database'!E56*'Customer Usage database'!E23</f>
        <v>2881.4690705074954</v>
      </c>
      <c r="K42" s="45">
        <f>'COSS Losses'!D133</f>
        <v>0.052187811228501524</v>
      </c>
      <c r="L42" s="30">
        <f t="shared" si="5"/>
        <v>3031.846634419906</v>
      </c>
      <c r="M42" s="99">
        <f>L42*$B$14</f>
        <v>3031.846634419906</v>
      </c>
      <c r="N42" s="124">
        <f>'Customer Usage database'!F56*'Customer Usage database'!F23</f>
        <v>2696.39192682742</v>
      </c>
      <c r="O42" s="45">
        <f>'COSS Losses'!E133</f>
        <v>0.04473313064976808</v>
      </c>
      <c r="P42" s="30">
        <f t="shared" si="6"/>
        <v>2817.0099791731704</v>
      </c>
      <c r="Q42" s="99">
        <f>P42*$B$15</f>
        <v>2817.0099791731704</v>
      </c>
      <c r="R42" s="124">
        <f>'Customer Usage database'!G56*'Customer Usage database'!G23</f>
        <v>304.68636840776975</v>
      </c>
      <c r="S42" s="45">
        <f>'COSS Losses'!F133</f>
        <v>0.03870427709714647</v>
      </c>
      <c r="T42" s="30">
        <f t="shared" si="7"/>
        <v>316.4790340383473</v>
      </c>
      <c r="U42" s="99">
        <f>T42*$B$16</f>
        <v>316.4790340383473</v>
      </c>
      <c r="V42" s="124">
        <f>'Customer Usage database'!H56*'Customer Usage database'!H23</f>
        <v>1092.1748545145936</v>
      </c>
      <c r="W42" s="45">
        <f>'COSS Losses'!G133</f>
        <v>0.034866568983548174</v>
      </c>
      <c r="X42" s="30">
        <f t="shared" si="8"/>
        <v>1130.2552444216233</v>
      </c>
      <c r="Y42" s="99">
        <f>X42*$B$17</f>
        <v>1130.2552444216233</v>
      </c>
      <c r="Z42" s="124">
        <f>'Customer Usage database'!I56*'Customer Usage database'!I23</f>
        <v>7416.69273300407</v>
      </c>
      <c r="AA42" s="45">
        <f>'COSS Losses'!H133</f>
        <v>0.034866568983548174</v>
      </c>
      <c r="AB42" s="30">
        <f t="shared" si="9"/>
        <v>7675.287361809136</v>
      </c>
      <c r="AC42" s="99">
        <f>AB42*$B$18</f>
        <v>7675.287361809136</v>
      </c>
      <c r="AD42" s="124">
        <f>'Customer Usage database'!J56*'Customer Usage database'!J23</f>
        <v>8420.51218320945</v>
      </c>
      <c r="AE42" s="45">
        <v>0</v>
      </c>
      <c r="AF42" s="30">
        <f t="shared" si="10"/>
        <v>8420.51218320945</v>
      </c>
      <c r="AG42" s="99">
        <f>AF42*$B$18</f>
        <v>8420.51218320945</v>
      </c>
      <c r="AH42" s="124">
        <f>'Customer Usage database'!K56*'Customer Usage database'!K23</f>
        <v>232.55019562218374</v>
      </c>
      <c r="AI42" s="45">
        <f>'COSS Losses'!J133</f>
        <v>0.09187547380640099</v>
      </c>
      <c r="AJ42" s="30">
        <f t="shared" si="11"/>
        <v>253.9158550287431</v>
      </c>
      <c r="AK42" s="99">
        <f>AJ42*$B$19</f>
        <v>253.9158550287431</v>
      </c>
      <c r="AL42" s="97">
        <f t="shared" si="1"/>
        <v>29270.650036937797</v>
      </c>
      <c r="AM42" s="236">
        <f t="shared" si="12"/>
        <v>0.04420698578085269</v>
      </c>
      <c r="AN42" s="237">
        <f t="shared" si="2"/>
        <v>30564.617246917023</v>
      </c>
      <c r="AO42" s="238">
        <f t="shared" si="3"/>
        <v>30564.617246917023</v>
      </c>
    </row>
    <row r="43" spans="1:41" s="6" customFormat="1" ht="15.75">
      <c r="A43" s="6" t="s">
        <v>43</v>
      </c>
      <c r="B43" s="125">
        <f>MAX(B31:B42)</f>
        <v>5951.027312498203</v>
      </c>
      <c r="C43" s="126">
        <f>D43/B43-1</f>
        <v>0.11328594585678475</v>
      </c>
      <c r="D43" s="147">
        <f>MAX(D31:D42)</f>
        <v>6625.195070414122</v>
      </c>
      <c r="E43" s="127">
        <f>MAX(E31:E42)</f>
        <v>7017.448456157581</v>
      </c>
      <c r="F43" s="125">
        <f>MAX(F31:F42)</f>
        <v>275.1453923466096</v>
      </c>
      <c r="G43" s="126">
        <f>H43/F43-1</f>
        <v>0.06894715515358274</v>
      </c>
      <c r="H43" s="147">
        <f>MAX(H31:H42)</f>
        <v>294.11588440252467</v>
      </c>
      <c r="I43" s="127">
        <f>MAX(I31:I42)</f>
        <v>294.11588440252467</v>
      </c>
      <c r="J43" s="125">
        <f>MAX(J31:J42)</f>
        <v>2881.4690705074954</v>
      </c>
      <c r="K43" s="126">
        <f>L43/J43-1</f>
        <v>0.05218781122850147</v>
      </c>
      <c r="L43" s="147">
        <f>MAX(L31:L42)</f>
        <v>3031.846634419906</v>
      </c>
      <c r="M43" s="127">
        <f>MAX(M31:M42)</f>
        <v>3176.5641941270173</v>
      </c>
      <c r="N43" s="125">
        <f>MAX(N31:N42)</f>
        <v>3484.615459513863</v>
      </c>
      <c r="O43" s="126">
        <f>P43/N43-1</f>
        <v>0.021809266974118557</v>
      </c>
      <c r="P43" s="147">
        <f>MAX(P31:P42)</f>
        <v>3560.612368372542</v>
      </c>
      <c r="Q43" s="127">
        <f>MAX(Q31:Q42)</f>
        <v>3000.535532982507</v>
      </c>
      <c r="R43" s="125">
        <f>MAX(R31:R42)</f>
        <v>345.8969758344675</v>
      </c>
      <c r="S43" s="126">
        <f>T43/R43-1</f>
        <v>0.0279366226630966</v>
      </c>
      <c r="T43" s="147">
        <f>MAX(T31:T42)</f>
        <v>355.5601691286613</v>
      </c>
      <c r="U43" s="127">
        <f>MAX(U31:U42)</f>
        <v>354.128188540841</v>
      </c>
      <c r="V43" s="125">
        <f>MAX(V31:V42)</f>
        <v>1092.1748545145936</v>
      </c>
      <c r="W43" s="126">
        <f>X43/V43-1</f>
        <v>0.03486656898354812</v>
      </c>
      <c r="X43" s="147">
        <f>MAX(X31:X42)</f>
        <v>1130.2552444216233</v>
      </c>
      <c r="Y43" s="127">
        <f>MAX(Y31:Y42)</f>
        <v>1130.2552444216233</v>
      </c>
      <c r="Z43" s="125">
        <f>MAX(Z31:Z42)</f>
        <v>7804.822249042212</v>
      </c>
      <c r="AA43" s="126">
        <f>AB43/Z43-1</f>
        <v>0.020059902775780847</v>
      </c>
      <c r="AB43" s="147">
        <f>MAX(AB31:AB42)</f>
        <v>7961.38622454025</v>
      </c>
      <c r="AC43" s="127">
        <f>MAX(AC31:AC42)</f>
        <v>7787.319580418711</v>
      </c>
      <c r="AD43" s="125">
        <f>MAX(AD31:AD42)</f>
        <v>8699.163129273822</v>
      </c>
      <c r="AE43" s="126">
        <f>AF43/AD43-1</f>
        <v>2.6103001997078503</v>
      </c>
      <c r="AF43" s="147">
        <f>SUM(AF31:AF42)</f>
        <v>31406.59038290845</v>
      </c>
      <c r="AG43" s="127">
        <f>MAX(AG31:AG42)</f>
        <v>8546.006495533402</v>
      </c>
      <c r="AH43" s="125">
        <f>MAX(AH31:AH42)</f>
        <v>232.55019562218374</v>
      </c>
      <c r="AI43" s="126">
        <f>AJ43/AH43-1</f>
        <v>1.862539257178108</v>
      </c>
      <c r="AJ43" s="147">
        <f>SUM(AJ31:AJ42)</f>
        <v>665.6840642329496</v>
      </c>
      <c r="AK43" s="127">
        <f>MAX(AK31:AK42)</f>
        <v>397.28245073127476</v>
      </c>
      <c r="AL43" s="148">
        <f>MAX(AL31:AL42)</f>
        <v>29270.650036937797</v>
      </c>
      <c r="AM43" s="239">
        <f t="shared" si="12"/>
        <v>0.04420698578085269</v>
      </c>
      <c r="AN43" s="240">
        <f>MAX(AN31:AN42)</f>
        <v>30564.617246917023</v>
      </c>
      <c r="AO43" s="241">
        <f>MAX(AO31:AO42)</f>
        <v>30564.617246917023</v>
      </c>
    </row>
    <row r="44" spans="2:41" ht="15">
      <c r="B44" s="24"/>
      <c r="C44" s="25"/>
      <c r="D44" s="25"/>
      <c r="E44" s="26"/>
      <c r="F44" s="24"/>
      <c r="G44" s="25"/>
      <c r="H44" s="25"/>
      <c r="I44" s="26"/>
      <c r="J44" s="24"/>
      <c r="K44" s="25"/>
      <c r="L44" s="25"/>
      <c r="M44" s="26"/>
      <c r="N44" s="24"/>
      <c r="O44" s="25"/>
      <c r="P44" s="25"/>
      <c r="Q44" s="26"/>
      <c r="R44" s="24"/>
      <c r="S44" s="25"/>
      <c r="T44" s="25"/>
      <c r="U44" s="26"/>
      <c r="V44" s="24"/>
      <c r="W44" s="25"/>
      <c r="X44" s="25"/>
      <c r="Y44" s="26"/>
      <c r="Z44" s="24"/>
      <c r="AA44" s="25"/>
      <c r="AB44" s="25"/>
      <c r="AC44" s="26"/>
      <c r="AD44" s="24"/>
      <c r="AE44" s="25"/>
      <c r="AF44" s="25"/>
      <c r="AG44" s="26"/>
      <c r="AH44" s="24"/>
      <c r="AI44" s="25"/>
      <c r="AJ44" s="25"/>
      <c r="AK44" s="26"/>
      <c r="AL44" s="24"/>
      <c r="AM44" s="25"/>
      <c r="AN44" s="25"/>
      <c r="AO44" s="26"/>
    </row>
    <row r="45" ht="15">
      <c r="AO45" s="4"/>
    </row>
    <row r="46" spans="1:41" ht="15.75">
      <c r="A46" s="6" t="s">
        <v>156</v>
      </c>
      <c r="AO46" s="9"/>
    </row>
    <row r="48" spans="2:13" ht="15">
      <c r="B48" s="305" t="s">
        <v>84</v>
      </c>
      <c r="C48" s="306"/>
      <c r="D48" s="307"/>
      <c r="E48" s="305" t="s">
        <v>178</v>
      </c>
      <c r="F48" s="306"/>
      <c r="G48" s="307"/>
      <c r="H48" s="270" t="s">
        <v>232</v>
      </c>
      <c r="I48" s="266"/>
      <c r="J48" s="267"/>
      <c r="K48" s="270" t="s">
        <v>155</v>
      </c>
      <c r="L48" s="282"/>
      <c r="M48" s="277"/>
    </row>
    <row r="49" spans="2:13" ht="15" customHeight="1">
      <c r="B49" s="12" t="s">
        <v>83</v>
      </c>
      <c r="C49" s="13" t="s">
        <v>153</v>
      </c>
      <c r="D49" s="14"/>
      <c r="E49" s="12" t="s">
        <v>83</v>
      </c>
      <c r="F49" s="13" t="s">
        <v>204</v>
      </c>
      <c r="G49" s="14"/>
      <c r="H49" s="12" t="s">
        <v>83</v>
      </c>
      <c r="I49" s="13" t="s">
        <v>204</v>
      </c>
      <c r="J49" s="14"/>
      <c r="K49" s="309" t="s">
        <v>160</v>
      </c>
      <c r="L49" s="310"/>
      <c r="M49" s="312" t="s">
        <v>213</v>
      </c>
    </row>
    <row r="50" spans="2:13" ht="30">
      <c r="B50" s="12"/>
      <c r="C50" s="66" t="s">
        <v>154</v>
      </c>
      <c r="D50" s="68" t="s">
        <v>220</v>
      </c>
      <c r="E50" s="65"/>
      <c r="F50" s="66" t="s">
        <v>154</v>
      </c>
      <c r="G50" s="68" t="s">
        <v>220</v>
      </c>
      <c r="H50" s="65"/>
      <c r="I50" s="66" t="s">
        <v>154</v>
      </c>
      <c r="J50" s="68" t="s">
        <v>220</v>
      </c>
      <c r="K50" s="164" t="s">
        <v>159</v>
      </c>
      <c r="L50" s="53" t="s">
        <v>205</v>
      </c>
      <c r="M50" s="312"/>
    </row>
    <row r="51" spans="1:13" ht="15">
      <c r="A51" t="s">
        <v>4</v>
      </c>
      <c r="B51" s="97">
        <f>'RtR Market EBS '!C43</f>
        <v>26.096</v>
      </c>
      <c r="C51" s="63">
        <f>$H$4</f>
        <v>0.17</v>
      </c>
      <c r="D51" s="154">
        <f>B51*C51</f>
        <v>4.43632</v>
      </c>
      <c r="E51" s="97">
        <f>'RtR Market EBS '!F43</f>
        <v>20</v>
      </c>
      <c r="F51" s="158">
        <f>$H$5</f>
        <v>0.17</v>
      </c>
      <c r="G51" s="159">
        <f>E51*F51</f>
        <v>3.4000000000000004</v>
      </c>
      <c r="H51" s="97">
        <f>'RtR Market EBS '!I43</f>
        <v>0</v>
      </c>
      <c r="I51" s="158"/>
      <c r="J51" s="159">
        <f>H51*I51</f>
        <v>0</v>
      </c>
      <c r="K51" s="165">
        <f>D51+G51+J51</f>
        <v>7.836320000000001</v>
      </c>
      <c r="L51" s="166">
        <f aca="true" t="shared" si="13" ref="L51:L62">K51/(1+$B$6)</f>
        <v>7.661634728197107</v>
      </c>
      <c r="M51" s="151">
        <f>L51/(1+$B$7)</f>
        <v>6.384695606830923</v>
      </c>
    </row>
    <row r="52" spans="1:13" ht="15">
      <c r="A52" t="s">
        <v>5</v>
      </c>
      <c r="B52" s="97">
        <f>'RtR Market EBS '!C44</f>
        <v>26.096</v>
      </c>
      <c r="C52" s="63">
        <f aca="true" t="shared" si="14" ref="C52:C62">$H$4</f>
        <v>0.17</v>
      </c>
      <c r="D52" s="154">
        <f aca="true" t="shared" si="15" ref="D52:D62">B52*C52</f>
        <v>4.43632</v>
      </c>
      <c r="E52" s="97">
        <f>'RtR Market EBS '!F44</f>
        <v>20</v>
      </c>
      <c r="F52" s="158">
        <f aca="true" t="shared" si="16" ref="F52:F62">$H$5</f>
        <v>0.17</v>
      </c>
      <c r="G52" s="159">
        <f aca="true" t="shared" si="17" ref="G52:G62">E52*F52</f>
        <v>3.4000000000000004</v>
      </c>
      <c r="H52" s="97">
        <f>'RtR Market EBS '!I44</f>
        <v>0</v>
      </c>
      <c r="I52" s="158"/>
      <c r="J52" s="159">
        <f aca="true" t="shared" si="18" ref="J52:J62">H52*I52</f>
        <v>0</v>
      </c>
      <c r="K52" s="165">
        <f aca="true" t="shared" si="19" ref="K52:K62">D52+G52+J52</f>
        <v>7.836320000000001</v>
      </c>
      <c r="L52" s="166">
        <f t="shared" si="13"/>
        <v>7.661634728197107</v>
      </c>
      <c r="M52" s="151">
        <f aca="true" t="shared" si="20" ref="M52:M62">L52/(1+$B$7)</f>
        <v>6.384695606830923</v>
      </c>
    </row>
    <row r="53" spans="1:13" ht="15">
      <c r="A53" t="s">
        <v>6</v>
      </c>
      <c r="B53" s="97">
        <f>'RtR Market EBS '!C45</f>
        <v>26.096</v>
      </c>
      <c r="C53" s="63">
        <f t="shared" si="14"/>
        <v>0.17</v>
      </c>
      <c r="D53" s="154">
        <f t="shared" si="15"/>
        <v>4.43632</v>
      </c>
      <c r="E53" s="97">
        <f>'RtR Market EBS '!F45</f>
        <v>20</v>
      </c>
      <c r="F53" s="158">
        <f t="shared" si="16"/>
        <v>0.17</v>
      </c>
      <c r="G53" s="159">
        <f t="shared" si="17"/>
        <v>3.4000000000000004</v>
      </c>
      <c r="H53" s="97">
        <f>'RtR Market EBS '!I45</f>
        <v>0</v>
      </c>
      <c r="I53" s="158"/>
      <c r="J53" s="159">
        <f t="shared" si="18"/>
        <v>0</v>
      </c>
      <c r="K53" s="165">
        <f t="shared" si="19"/>
        <v>7.836320000000001</v>
      </c>
      <c r="L53" s="166">
        <f t="shared" si="13"/>
        <v>7.661634728197107</v>
      </c>
      <c r="M53" s="151">
        <f t="shared" si="20"/>
        <v>6.384695606830923</v>
      </c>
    </row>
    <row r="54" spans="1:13" ht="15">
      <c r="A54" t="s">
        <v>7</v>
      </c>
      <c r="B54" s="97">
        <f>'RtR Market EBS '!C46</f>
        <v>26.096</v>
      </c>
      <c r="C54" s="63">
        <f t="shared" si="14"/>
        <v>0.17</v>
      </c>
      <c r="D54" s="154">
        <f t="shared" si="15"/>
        <v>4.43632</v>
      </c>
      <c r="E54" s="97">
        <f>'RtR Market EBS '!F46</f>
        <v>20</v>
      </c>
      <c r="F54" s="158">
        <f t="shared" si="16"/>
        <v>0.17</v>
      </c>
      <c r="G54" s="159">
        <f t="shared" si="17"/>
        <v>3.4000000000000004</v>
      </c>
      <c r="H54" s="97">
        <f>'RtR Market EBS '!I46</f>
        <v>0</v>
      </c>
      <c r="I54" s="158"/>
      <c r="J54" s="159">
        <f t="shared" si="18"/>
        <v>0</v>
      </c>
      <c r="K54" s="165">
        <f t="shared" si="19"/>
        <v>7.836320000000001</v>
      </c>
      <c r="L54" s="166">
        <f t="shared" si="13"/>
        <v>7.661634728197107</v>
      </c>
      <c r="M54" s="151">
        <f t="shared" si="20"/>
        <v>6.384695606830923</v>
      </c>
    </row>
    <row r="55" spans="1:13" ht="15">
      <c r="A55" t="s">
        <v>8</v>
      </c>
      <c r="B55" s="97">
        <f>'RtR Market EBS '!C47</f>
        <v>26.096</v>
      </c>
      <c r="C55" s="63">
        <f t="shared" si="14"/>
        <v>0.17</v>
      </c>
      <c r="D55" s="154">
        <f t="shared" si="15"/>
        <v>4.43632</v>
      </c>
      <c r="E55" s="97">
        <f>'RtR Market EBS '!F47</f>
        <v>20</v>
      </c>
      <c r="F55" s="158">
        <f t="shared" si="16"/>
        <v>0.17</v>
      </c>
      <c r="G55" s="159">
        <f t="shared" si="17"/>
        <v>3.4000000000000004</v>
      </c>
      <c r="H55" s="97">
        <f>'RtR Market EBS '!I47</f>
        <v>0</v>
      </c>
      <c r="I55" s="158"/>
      <c r="J55" s="159">
        <f t="shared" si="18"/>
        <v>0</v>
      </c>
      <c r="K55" s="165">
        <f t="shared" si="19"/>
        <v>7.836320000000001</v>
      </c>
      <c r="L55" s="166">
        <f t="shared" si="13"/>
        <v>7.661634728197107</v>
      </c>
      <c r="M55" s="151">
        <f t="shared" si="20"/>
        <v>6.384695606830923</v>
      </c>
    </row>
    <row r="56" spans="1:13" ht="15">
      <c r="A56" t="s">
        <v>9</v>
      </c>
      <c r="B56" s="97">
        <f>'RtR Market EBS '!C48</f>
        <v>26.096</v>
      </c>
      <c r="C56" s="63">
        <f t="shared" si="14"/>
        <v>0.17</v>
      </c>
      <c r="D56" s="154">
        <f t="shared" si="15"/>
        <v>4.43632</v>
      </c>
      <c r="E56" s="97">
        <f>'RtR Market EBS '!F48</f>
        <v>20</v>
      </c>
      <c r="F56" s="158">
        <f t="shared" si="16"/>
        <v>0.17</v>
      </c>
      <c r="G56" s="159">
        <f t="shared" si="17"/>
        <v>3.4000000000000004</v>
      </c>
      <c r="H56" s="97">
        <f>'RtR Market EBS '!I48</f>
        <v>0</v>
      </c>
      <c r="I56" s="158"/>
      <c r="J56" s="159">
        <f t="shared" si="18"/>
        <v>0</v>
      </c>
      <c r="K56" s="165">
        <f t="shared" si="19"/>
        <v>7.836320000000001</v>
      </c>
      <c r="L56" s="166">
        <f t="shared" si="13"/>
        <v>7.661634728197107</v>
      </c>
      <c r="M56" s="151">
        <f t="shared" si="20"/>
        <v>6.384695606830923</v>
      </c>
    </row>
    <row r="57" spans="1:13" ht="15">
      <c r="A57" t="s">
        <v>10</v>
      </c>
      <c r="B57" s="97">
        <f>'RtR Market EBS '!C49</f>
        <v>26.096</v>
      </c>
      <c r="C57" s="63">
        <f t="shared" si="14"/>
        <v>0.17</v>
      </c>
      <c r="D57" s="154">
        <f t="shared" si="15"/>
        <v>4.43632</v>
      </c>
      <c r="E57" s="97">
        <f>'RtR Market EBS '!F49</f>
        <v>20</v>
      </c>
      <c r="F57" s="158">
        <f t="shared" si="16"/>
        <v>0.17</v>
      </c>
      <c r="G57" s="159">
        <f t="shared" si="17"/>
        <v>3.4000000000000004</v>
      </c>
      <c r="H57" s="97">
        <f>'RtR Market EBS '!I49</f>
        <v>60</v>
      </c>
      <c r="I57" s="63">
        <f aca="true" t="shared" si="21" ref="I57:I62">$H$4</f>
        <v>0.17</v>
      </c>
      <c r="J57" s="159">
        <f t="shared" si="18"/>
        <v>10.200000000000001</v>
      </c>
      <c r="K57" s="165">
        <f t="shared" si="19"/>
        <v>18.036320000000003</v>
      </c>
      <c r="L57" s="166">
        <f t="shared" si="13"/>
        <v>17.634258897145095</v>
      </c>
      <c r="M57" s="151">
        <f t="shared" si="20"/>
        <v>14.695215747620914</v>
      </c>
    </row>
    <row r="58" spans="1:13" ht="15">
      <c r="A58" t="s">
        <v>11</v>
      </c>
      <c r="B58" s="97">
        <f>'RtR Market EBS '!C50</f>
        <v>26.096</v>
      </c>
      <c r="C58" s="63">
        <f t="shared" si="14"/>
        <v>0.17</v>
      </c>
      <c r="D58" s="154">
        <f t="shared" si="15"/>
        <v>4.43632</v>
      </c>
      <c r="E58" s="97">
        <f>'RtR Market EBS '!F50</f>
        <v>20</v>
      </c>
      <c r="F58" s="158">
        <f t="shared" si="16"/>
        <v>0.17</v>
      </c>
      <c r="G58" s="159">
        <f t="shared" si="17"/>
        <v>3.4000000000000004</v>
      </c>
      <c r="H58" s="97">
        <f>'RtR Market EBS '!I50</f>
        <v>60</v>
      </c>
      <c r="I58" s="63">
        <f t="shared" si="21"/>
        <v>0.17</v>
      </c>
      <c r="J58" s="159">
        <f t="shared" si="18"/>
        <v>10.200000000000001</v>
      </c>
      <c r="K58" s="165">
        <f t="shared" si="19"/>
        <v>18.036320000000003</v>
      </c>
      <c r="L58" s="166">
        <f t="shared" si="13"/>
        <v>17.634258897145095</v>
      </c>
      <c r="M58" s="151">
        <f t="shared" si="20"/>
        <v>14.695215747620914</v>
      </c>
    </row>
    <row r="59" spans="1:13" ht="15">
      <c r="A59" t="s">
        <v>12</v>
      </c>
      <c r="B59" s="97">
        <v>15</v>
      </c>
      <c r="C59" s="63">
        <f t="shared" si="14"/>
        <v>0.17</v>
      </c>
      <c r="D59" s="154">
        <f t="shared" si="15"/>
        <v>2.5500000000000003</v>
      </c>
      <c r="E59" s="97">
        <f>'RtR Market EBS '!F51</f>
        <v>20</v>
      </c>
      <c r="F59" s="158">
        <f t="shared" si="16"/>
        <v>0.17</v>
      </c>
      <c r="G59" s="159">
        <f t="shared" si="17"/>
        <v>3.4000000000000004</v>
      </c>
      <c r="H59" s="97">
        <f>'RtR Market EBS '!I51</f>
        <v>60</v>
      </c>
      <c r="I59" s="63">
        <f t="shared" si="21"/>
        <v>0.17</v>
      </c>
      <c r="J59" s="159">
        <f t="shared" si="18"/>
        <v>10.200000000000001</v>
      </c>
      <c r="K59" s="165">
        <f t="shared" si="19"/>
        <v>16.150000000000002</v>
      </c>
      <c r="L59" s="166">
        <f t="shared" si="13"/>
        <v>15.78998826750098</v>
      </c>
      <c r="M59" s="151">
        <f t="shared" si="20"/>
        <v>13.158323556250817</v>
      </c>
    </row>
    <row r="60" spans="1:13" ht="15">
      <c r="A60" t="s">
        <v>13</v>
      </c>
      <c r="B60" s="97">
        <f>'RtR Market EBS '!C52</f>
        <v>26.096</v>
      </c>
      <c r="C60" s="63">
        <f t="shared" si="14"/>
        <v>0.17</v>
      </c>
      <c r="D60" s="154">
        <f t="shared" si="15"/>
        <v>4.43632</v>
      </c>
      <c r="E60" s="97">
        <f>'RtR Market EBS '!F52</f>
        <v>20</v>
      </c>
      <c r="F60" s="158">
        <f t="shared" si="16"/>
        <v>0.17</v>
      </c>
      <c r="G60" s="159">
        <f t="shared" si="17"/>
        <v>3.4000000000000004</v>
      </c>
      <c r="H60" s="97">
        <f>'RtR Market EBS '!I52</f>
        <v>60</v>
      </c>
      <c r="I60" s="63">
        <f t="shared" si="21"/>
        <v>0.17</v>
      </c>
      <c r="J60" s="159">
        <f t="shared" si="18"/>
        <v>10.200000000000001</v>
      </c>
      <c r="K60" s="165">
        <f t="shared" si="19"/>
        <v>18.036320000000003</v>
      </c>
      <c r="L60" s="166">
        <f t="shared" si="13"/>
        <v>17.634258897145095</v>
      </c>
      <c r="M60" s="151">
        <f t="shared" si="20"/>
        <v>14.695215747620914</v>
      </c>
    </row>
    <row r="61" spans="1:13" ht="15">
      <c r="A61" t="s">
        <v>14</v>
      </c>
      <c r="B61" s="97">
        <f>'RtR Market EBS '!C53</f>
        <v>26.096</v>
      </c>
      <c r="C61" s="63">
        <f t="shared" si="14"/>
        <v>0.17</v>
      </c>
      <c r="D61" s="154">
        <f t="shared" si="15"/>
        <v>4.43632</v>
      </c>
      <c r="E61" s="97">
        <f>'RtR Market EBS '!F53</f>
        <v>20</v>
      </c>
      <c r="F61" s="158">
        <f t="shared" si="16"/>
        <v>0.17</v>
      </c>
      <c r="G61" s="159">
        <f t="shared" si="17"/>
        <v>3.4000000000000004</v>
      </c>
      <c r="H61" s="97">
        <f>'RtR Market EBS '!I53</f>
        <v>60</v>
      </c>
      <c r="I61" s="63">
        <f t="shared" si="21"/>
        <v>0.17</v>
      </c>
      <c r="J61" s="159">
        <f t="shared" si="18"/>
        <v>10.200000000000001</v>
      </c>
      <c r="K61" s="165">
        <f t="shared" si="19"/>
        <v>18.036320000000003</v>
      </c>
      <c r="L61" s="166">
        <f t="shared" si="13"/>
        <v>17.634258897145095</v>
      </c>
      <c r="M61" s="151">
        <f t="shared" si="20"/>
        <v>14.695215747620914</v>
      </c>
    </row>
    <row r="62" spans="1:13" ht="15">
      <c r="A62" t="s">
        <v>15</v>
      </c>
      <c r="B62" s="155">
        <f>'RtR Market EBS '!C54</f>
        <v>26.096</v>
      </c>
      <c r="C62" s="156">
        <f t="shared" si="14"/>
        <v>0.17</v>
      </c>
      <c r="D62" s="157">
        <f t="shared" si="15"/>
        <v>4.43632</v>
      </c>
      <c r="E62" s="155">
        <f>'RtR Market EBS '!F54</f>
        <v>20</v>
      </c>
      <c r="F62" s="160">
        <f t="shared" si="16"/>
        <v>0.17</v>
      </c>
      <c r="G62" s="161">
        <f t="shared" si="17"/>
        <v>3.4000000000000004</v>
      </c>
      <c r="H62" s="97">
        <f>$F$6</f>
        <v>60</v>
      </c>
      <c r="I62" s="63">
        <f t="shared" si="21"/>
        <v>0.17</v>
      </c>
      <c r="J62" s="161">
        <f t="shared" si="18"/>
        <v>10.200000000000001</v>
      </c>
      <c r="K62" s="167">
        <f t="shared" si="19"/>
        <v>18.036320000000003</v>
      </c>
      <c r="L62" s="168">
        <f t="shared" si="13"/>
        <v>17.634258897145095</v>
      </c>
      <c r="M62" s="151">
        <f t="shared" si="20"/>
        <v>14.695215747620914</v>
      </c>
    </row>
    <row r="63" spans="1:13" ht="15">
      <c r="A63" t="s">
        <v>24</v>
      </c>
      <c r="B63" s="24"/>
      <c r="C63" s="103"/>
      <c r="D63" s="104"/>
      <c r="E63" s="102"/>
      <c r="F63" s="103"/>
      <c r="G63" s="104">
        <f>SUM(F51:F62)</f>
        <v>2.0399999999999996</v>
      </c>
      <c r="H63" s="102"/>
      <c r="I63" s="162"/>
      <c r="J63" s="163"/>
      <c r="K63" s="24"/>
      <c r="L63" s="25"/>
      <c r="M63" s="169"/>
    </row>
    <row r="65" spans="7:10" ht="15">
      <c r="G65" s="72"/>
      <c r="J65" s="4"/>
    </row>
    <row r="66" spans="1:7" ht="15.75">
      <c r="A66" s="6" t="s">
        <v>119</v>
      </c>
      <c r="G66" s="41"/>
    </row>
    <row r="67" spans="2:14" ht="15.75">
      <c r="B67" s="302" t="s">
        <v>162</v>
      </c>
      <c r="C67" s="303" t="s">
        <v>161</v>
      </c>
      <c r="D67" s="304"/>
      <c r="E67" s="304"/>
      <c r="F67" s="304"/>
      <c r="G67" s="302" t="s">
        <v>165</v>
      </c>
      <c r="H67" s="74"/>
      <c r="I67" s="74"/>
      <c r="J67" s="74"/>
      <c r="K67" s="74"/>
      <c r="L67" s="74"/>
      <c r="M67" s="71"/>
      <c r="N67" s="302"/>
    </row>
    <row r="68" spans="2:14" ht="89.25" customHeight="1">
      <c r="B68" s="311"/>
      <c r="C68" s="3" t="s">
        <v>209</v>
      </c>
      <c r="D68" s="3" t="s">
        <v>210</v>
      </c>
      <c r="E68" s="3" t="s">
        <v>211</v>
      </c>
      <c r="F68" t="s">
        <v>164</v>
      </c>
      <c r="G68" s="308"/>
      <c r="H68" s="74" t="s">
        <v>260</v>
      </c>
      <c r="I68" s="242" t="s">
        <v>258</v>
      </c>
      <c r="J68" s="70"/>
      <c r="K68" s="70"/>
      <c r="N68" s="302"/>
    </row>
    <row r="69" ht="15">
      <c r="I69" s="194"/>
    </row>
    <row r="70" spans="1:14" ht="15">
      <c r="A70" t="s">
        <v>4</v>
      </c>
      <c r="B70" s="40">
        <f>$B$4</f>
        <v>1053.03</v>
      </c>
      <c r="C70" s="177">
        <f>AO31</f>
        <v>11543.451868313032</v>
      </c>
      <c r="D70" s="177">
        <f aca="true" t="shared" si="22" ref="D70:D81">M51*1000</f>
        <v>6384.695606830923</v>
      </c>
      <c r="E70" s="177">
        <f>MAX(C70-D70,0)</f>
        <v>5158.756261482109</v>
      </c>
      <c r="F70" s="178">
        <f>E70*$B$5</f>
        <v>27702.521124158928</v>
      </c>
      <c r="G70" s="178">
        <f>B70+F70</f>
        <v>28755.551124158927</v>
      </c>
      <c r="H70" s="37">
        <f>G70/'RtR Market EBS '!E63</f>
        <v>3.8553314166149306</v>
      </c>
      <c r="I70" s="177">
        <f>C70-E70</f>
        <v>6384.695606830923</v>
      </c>
      <c r="N70" s="40"/>
    </row>
    <row r="71" spans="1:14" ht="15">
      <c r="A71" t="s">
        <v>5</v>
      </c>
      <c r="B71" s="40">
        <f aca="true" t="shared" si="23" ref="B71:B81">$B$4</f>
        <v>1053.03</v>
      </c>
      <c r="C71" s="177">
        <f aca="true" t="shared" si="24" ref="C71:C81">AO32</f>
        <v>12534.255981459457</v>
      </c>
      <c r="D71" s="177">
        <f t="shared" si="22"/>
        <v>6384.695606830923</v>
      </c>
      <c r="E71" s="177">
        <f aca="true" t="shared" si="25" ref="E71:E81">MAX(C71-D71,0)</f>
        <v>6149.560374628534</v>
      </c>
      <c r="F71" s="178">
        <f aca="true" t="shared" si="26" ref="F71:F81">E71*$B$5</f>
        <v>33023.13921175523</v>
      </c>
      <c r="G71" s="178">
        <f aca="true" t="shared" si="27" ref="G71:G81">B71+F71</f>
        <v>34076.16921175523</v>
      </c>
      <c r="H71" s="37">
        <f>G71/'RtR Market EBS '!E64</f>
        <v>4.707690522307385</v>
      </c>
      <c r="I71" s="177">
        <f aca="true" t="shared" si="28" ref="I71:I81">C71-E71</f>
        <v>6384.695606830923</v>
      </c>
      <c r="N71" s="40"/>
    </row>
    <row r="72" spans="1:14" ht="15">
      <c r="A72" t="s">
        <v>6</v>
      </c>
      <c r="B72" s="40">
        <f t="shared" si="23"/>
        <v>1053.03</v>
      </c>
      <c r="C72" s="177">
        <f t="shared" si="24"/>
        <v>14608.397770094893</v>
      </c>
      <c r="D72" s="177">
        <f t="shared" si="22"/>
        <v>6384.695606830923</v>
      </c>
      <c r="E72" s="177">
        <f t="shared" si="25"/>
        <v>8223.70216326397</v>
      </c>
      <c r="F72" s="178">
        <f t="shared" si="26"/>
        <v>44161.28061672752</v>
      </c>
      <c r="G72" s="178">
        <f t="shared" si="27"/>
        <v>45214.31061672752</v>
      </c>
      <c r="H72" s="37">
        <f>G72/'RtR Market EBS '!E65</f>
        <v>5.420774933820462</v>
      </c>
      <c r="I72" s="177">
        <f t="shared" si="28"/>
        <v>6384.695606830923</v>
      </c>
      <c r="N72" s="40"/>
    </row>
    <row r="73" spans="1:14" ht="15">
      <c r="A73" t="s">
        <v>7</v>
      </c>
      <c r="B73" s="40">
        <f t="shared" si="23"/>
        <v>1053.03</v>
      </c>
      <c r="C73" s="177">
        <f t="shared" si="24"/>
        <v>14778.125885902577</v>
      </c>
      <c r="D73" s="177">
        <f t="shared" si="22"/>
        <v>6384.695606830923</v>
      </c>
      <c r="E73" s="177">
        <f t="shared" si="25"/>
        <v>8393.430279071654</v>
      </c>
      <c r="F73" s="178">
        <f t="shared" si="26"/>
        <v>45072.72059861478</v>
      </c>
      <c r="G73" s="178">
        <f t="shared" si="27"/>
        <v>46125.75059861478</v>
      </c>
      <c r="H73" s="37">
        <f>G73/'RtR Market EBS '!E66</f>
        <v>5.561038512757327</v>
      </c>
      <c r="I73" s="177">
        <f t="shared" si="28"/>
        <v>6384.695606830923</v>
      </c>
      <c r="N73" s="40"/>
    </row>
    <row r="74" spans="1:14" ht="15">
      <c r="A74" t="s">
        <v>8</v>
      </c>
      <c r="B74" s="40">
        <f t="shared" si="23"/>
        <v>1053.03</v>
      </c>
      <c r="C74" s="177">
        <f t="shared" si="24"/>
        <v>16373.075225949844</v>
      </c>
      <c r="D74" s="177">
        <f t="shared" si="22"/>
        <v>6384.695606830923</v>
      </c>
      <c r="E74" s="177">
        <f t="shared" si="25"/>
        <v>9988.379619118921</v>
      </c>
      <c r="F74" s="178">
        <f t="shared" si="26"/>
        <v>53637.598554668606</v>
      </c>
      <c r="G74" s="178">
        <f t="shared" si="27"/>
        <v>54690.628554668605</v>
      </c>
      <c r="H74" s="37">
        <f>G74/'RtR Market EBS '!E67</f>
        <v>6.151885515192477</v>
      </c>
      <c r="I74" s="177">
        <f t="shared" si="28"/>
        <v>6384.695606830923</v>
      </c>
      <c r="N74" s="40"/>
    </row>
    <row r="75" spans="1:14" ht="15">
      <c r="A75" t="s">
        <v>9</v>
      </c>
      <c r="B75" s="40">
        <f t="shared" si="23"/>
        <v>1053.03</v>
      </c>
      <c r="C75" s="177">
        <f t="shared" si="24"/>
        <v>16357.749238689601</v>
      </c>
      <c r="D75" s="177">
        <f t="shared" si="22"/>
        <v>6384.695606830923</v>
      </c>
      <c r="E75" s="177">
        <f t="shared" si="25"/>
        <v>9973.053631858678</v>
      </c>
      <c r="F75" s="178">
        <f t="shared" si="26"/>
        <v>53555.2980030811</v>
      </c>
      <c r="G75" s="178">
        <f t="shared" si="27"/>
        <v>54608.3280030811</v>
      </c>
      <c r="H75" s="37">
        <f>G75/'RtR Market EBS '!E68</f>
        <v>6.305380283976303</v>
      </c>
      <c r="I75" s="177">
        <f t="shared" si="28"/>
        <v>6384.695606830923</v>
      </c>
      <c r="N75" s="40"/>
    </row>
    <row r="76" spans="1:14" ht="15">
      <c r="A76" t="s">
        <v>10</v>
      </c>
      <c r="B76" s="40">
        <f t="shared" si="23"/>
        <v>1053.03</v>
      </c>
      <c r="C76" s="177">
        <f t="shared" si="24"/>
        <v>17280.292635807557</v>
      </c>
      <c r="D76" s="177">
        <f t="shared" si="22"/>
        <v>14695.215747620914</v>
      </c>
      <c r="E76" s="177">
        <f t="shared" si="25"/>
        <v>2585.0768881866425</v>
      </c>
      <c r="F76" s="178">
        <f t="shared" si="26"/>
        <v>13881.86288956227</v>
      </c>
      <c r="G76" s="178">
        <f t="shared" si="27"/>
        <v>14934.89288956227</v>
      </c>
      <c r="H76" s="37">
        <f>G76/'RtR Market EBS '!E69</f>
        <v>1.5241901774373956</v>
      </c>
      <c r="I76" s="177">
        <f t="shared" si="28"/>
        <v>14695.215747620914</v>
      </c>
      <c r="N76" s="40"/>
    </row>
    <row r="77" spans="1:14" ht="15">
      <c r="A77" t="s">
        <v>11</v>
      </c>
      <c r="B77" s="40">
        <f t="shared" si="23"/>
        <v>1053.03</v>
      </c>
      <c r="C77" s="177">
        <f t="shared" si="24"/>
        <v>18647.50146871567</v>
      </c>
      <c r="D77" s="177">
        <f t="shared" si="22"/>
        <v>14695.215747620914</v>
      </c>
      <c r="E77" s="177">
        <f t="shared" si="25"/>
        <v>3952.285721094755</v>
      </c>
      <c r="F77" s="178">
        <f t="shared" si="26"/>
        <v>21223.774322278834</v>
      </c>
      <c r="G77" s="178">
        <f t="shared" si="27"/>
        <v>22276.804322278833</v>
      </c>
      <c r="H77" s="37">
        <f>G77/'RtR Market EBS '!E70</f>
        <v>2.139525236269467</v>
      </c>
      <c r="I77" s="177">
        <f t="shared" si="28"/>
        <v>14695.215747620914</v>
      </c>
      <c r="N77" s="40"/>
    </row>
    <row r="78" spans="1:14" ht="15">
      <c r="A78" t="s">
        <v>12</v>
      </c>
      <c r="B78" s="40">
        <f t="shared" si="23"/>
        <v>1053.03</v>
      </c>
      <c r="C78" s="177">
        <f t="shared" si="24"/>
        <v>27330.208820906977</v>
      </c>
      <c r="D78" s="177">
        <f t="shared" si="22"/>
        <v>13158.323556250818</v>
      </c>
      <c r="E78" s="177">
        <f t="shared" si="25"/>
        <v>14171.885264656159</v>
      </c>
      <c r="F78" s="178">
        <f t="shared" si="26"/>
        <v>76103.02387120358</v>
      </c>
      <c r="G78" s="178">
        <f t="shared" si="27"/>
        <v>77156.05387120358</v>
      </c>
      <c r="H78" s="37">
        <f>G78/'RtR Market EBS '!E71</f>
        <v>5.022279823362086</v>
      </c>
      <c r="I78" s="177">
        <f t="shared" si="28"/>
        <v>13158.323556250818</v>
      </c>
      <c r="N78" s="40"/>
    </row>
    <row r="79" spans="1:14" ht="15">
      <c r="A79" t="s">
        <v>13</v>
      </c>
      <c r="B79" s="40">
        <f t="shared" si="23"/>
        <v>1053.03</v>
      </c>
      <c r="C79" s="177">
        <f t="shared" si="24"/>
        <v>28956.361320246397</v>
      </c>
      <c r="D79" s="177">
        <f t="shared" si="22"/>
        <v>14695.215747620914</v>
      </c>
      <c r="E79" s="177">
        <f t="shared" si="25"/>
        <v>14261.145572625483</v>
      </c>
      <c r="F79" s="178">
        <f t="shared" si="26"/>
        <v>76582.35172499884</v>
      </c>
      <c r="G79" s="178">
        <f t="shared" si="27"/>
        <v>77635.38172499884</v>
      </c>
      <c r="H79" s="37">
        <f>G79/'RtR Market EBS '!E72</f>
        <v>4.8922206748714965</v>
      </c>
      <c r="I79" s="177">
        <f t="shared" si="28"/>
        <v>14695.215747620914</v>
      </c>
      <c r="N79" s="40"/>
    </row>
    <row r="80" spans="1:14" ht="15">
      <c r="A80" t="s">
        <v>14</v>
      </c>
      <c r="B80" s="40">
        <f t="shared" si="23"/>
        <v>1053.03</v>
      </c>
      <c r="C80" s="177">
        <f t="shared" si="24"/>
        <v>28251.226314738054</v>
      </c>
      <c r="D80" s="177">
        <f t="shared" si="22"/>
        <v>14695.215747620914</v>
      </c>
      <c r="E80" s="177">
        <f t="shared" si="25"/>
        <v>13556.01056711714</v>
      </c>
      <c r="F80" s="178">
        <f t="shared" si="26"/>
        <v>72795.77674541905</v>
      </c>
      <c r="G80" s="178">
        <f t="shared" si="27"/>
        <v>73848.80674541905</v>
      </c>
      <c r="H80" s="37">
        <f>G80/'RtR Market EBS '!E73</f>
        <v>4.561277454504349</v>
      </c>
      <c r="I80" s="177">
        <f t="shared" si="28"/>
        <v>14695.215747620914</v>
      </c>
      <c r="N80" s="40"/>
    </row>
    <row r="81" spans="1:14" ht="17.25">
      <c r="A81" t="s">
        <v>15</v>
      </c>
      <c r="B81" s="78">
        <f t="shared" si="23"/>
        <v>1053.03</v>
      </c>
      <c r="C81" s="179">
        <f t="shared" si="24"/>
        <v>30564.617246917023</v>
      </c>
      <c r="D81" s="179">
        <f t="shared" si="22"/>
        <v>14695.215747620914</v>
      </c>
      <c r="E81" s="179">
        <f t="shared" si="25"/>
        <v>15869.40149929611</v>
      </c>
      <c r="F81" s="180">
        <f t="shared" si="26"/>
        <v>85218.68605122011</v>
      </c>
      <c r="G81" s="180">
        <f t="shared" si="27"/>
        <v>86271.71605122011</v>
      </c>
      <c r="H81" s="39">
        <f>G81/'RtR Market EBS '!E74</f>
        <v>5.279271619846716</v>
      </c>
      <c r="I81" s="243">
        <f t="shared" si="28"/>
        <v>14695.215747620914</v>
      </c>
      <c r="N81" s="78"/>
    </row>
    <row r="82" spans="1:14" ht="15">
      <c r="A82" t="s">
        <v>24</v>
      </c>
      <c r="B82" s="40">
        <f aca="true" t="shared" si="29" ref="B82:G82">SUM(B70:B81)</f>
        <v>12636.360000000002</v>
      </c>
      <c r="C82" s="177">
        <f t="shared" si="29"/>
        <v>237225.26377774106</v>
      </c>
      <c r="D82" s="177">
        <f t="shared" si="29"/>
        <v>124942.57593534091</v>
      </c>
      <c r="E82" s="177">
        <f t="shared" si="29"/>
        <v>112282.68784240013</v>
      </c>
      <c r="F82" s="178">
        <f t="shared" si="29"/>
        <v>602958.0337136888</v>
      </c>
      <c r="G82" s="178">
        <f t="shared" si="29"/>
        <v>615594.3937136888</v>
      </c>
      <c r="H82" s="37">
        <f>G82/'RtR Market EBS '!E75</f>
        <v>4.633491400404606</v>
      </c>
      <c r="I82" s="177">
        <f>SUM(I70:I81)</f>
        <v>124942.57593534091</v>
      </c>
      <c r="J82" s="40"/>
      <c r="K82" s="40"/>
      <c r="L82" s="40"/>
      <c r="M82" s="40"/>
      <c r="N82" s="40"/>
    </row>
    <row r="84" ht="15.75">
      <c r="A84" s="6" t="s">
        <v>184</v>
      </c>
    </row>
    <row r="85" ht="15">
      <c r="A85" t="s">
        <v>263</v>
      </c>
    </row>
    <row r="86" ht="15">
      <c r="A86" t="s">
        <v>192</v>
      </c>
    </row>
    <row r="87" ht="15">
      <c r="A87" t="s">
        <v>191</v>
      </c>
    </row>
    <row r="88" ht="15">
      <c r="A88" t="s">
        <v>190</v>
      </c>
    </row>
  </sheetData>
  <sheetProtection/>
  <mergeCells count="20">
    <mergeCell ref="N67:N68"/>
    <mergeCell ref="AL26:AO26"/>
    <mergeCell ref="AD26:AG26"/>
    <mergeCell ref="AH26:AK26"/>
    <mergeCell ref="F26:I26"/>
    <mergeCell ref="M49:M50"/>
    <mergeCell ref="K48:M48"/>
    <mergeCell ref="Z26:AC26"/>
    <mergeCell ref="V26:Y26"/>
    <mergeCell ref="R26:U26"/>
    <mergeCell ref="N26:Q26"/>
    <mergeCell ref="J26:M26"/>
    <mergeCell ref="H48:J48"/>
    <mergeCell ref="C67:F67"/>
    <mergeCell ref="E48:G48"/>
    <mergeCell ref="G67:G68"/>
    <mergeCell ref="K49:L49"/>
    <mergeCell ref="B48:D48"/>
    <mergeCell ref="B26:E26"/>
    <mergeCell ref="B67:B68"/>
  </mergeCells>
  <printOptions/>
  <pageMargins left="0.7" right="0.7" top="0.75" bottom="0.75" header="0.3" footer="0.3"/>
  <pageSetup horizontalDpi="600" verticalDpi="600" orientation="landscape" paperSize="17" r:id="rId3"/>
  <legacyDrawing r:id="rId2"/>
</worksheet>
</file>

<file path=xl/worksheets/sheet7.xml><?xml version="1.0" encoding="utf-8"?>
<worksheet xmlns="http://schemas.openxmlformats.org/spreadsheetml/2006/main" xmlns:r="http://schemas.openxmlformats.org/officeDocument/2006/relationships">
  <dimension ref="A1:I29"/>
  <sheetViews>
    <sheetView zoomScalePageLayoutView="0" workbookViewId="0" topLeftCell="A1">
      <selection activeCell="G14" sqref="G14"/>
    </sheetView>
  </sheetViews>
  <sheetFormatPr defaultColWidth="8.88671875" defaultRowHeight="15"/>
  <cols>
    <col min="1" max="1" width="38.77734375" style="0" bestFit="1" customWidth="1"/>
    <col min="2" max="2" width="9.99609375" style="0" bestFit="1" customWidth="1"/>
    <col min="3" max="3" width="10.99609375" style="0" bestFit="1" customWidth="1"/>
    <col min="4" max="4" width="9.6640625" style="0" customWidth="1"/>
    <col min="5" max="5" width="10.88671875" style="0" bestFit="1" customWidth="1"/>
    <col min="6" max="6" width="10.5546875" style="0" customWidth="1"/>
  </cols>
  <sheetData>
    <row r="1" spans="1:8" ht="20.25">
      <c r="A1" s="198" t="s">
        <v>238</v>
      </c>
      <c r="B1" s="194"/>
      <c r="C1" s="194"/>
      <c r="D1" s="194"/>
      <c r="E1" s="194"/>
      <c r="F1" s="194"/>
      <c r="G1" s="194"/>
      <c r="H1" s="194"/>
    </row>
    <row r="2" spans="1:8" ht="15">
      <c r="A2" s="194"/>
      <c r="B2" s="194"/>
      <c r="C2" s="194"/>
      <c r="D2" s="194"/>
      <c r="E2" s="194"/>
      <c r="F2" s="194"/>
      <c r="G2" s="194"/>
      <c r="H2" s="194"/>
    </row>
    <row r="3" spans="1:8" ht="18">
      <c r="A3" s="199" t="s">
        <v>124</v>
      </c>
      <c r="B3" s="194"/>
      <c r="C3" s="194"/>
      <c r="D3" s="194"/>
      <c r="E3" s="194"/>
      <c r="F3" s="194"/>
      <c r="G3" s="194"/>
      <c r="H3" s="194"/>
    </row>
    <row r="4" spans="1:9" ht="15">
      <c r="A4" s="194" t="s">
        <v>248</v>
      </c>
      <c r="B4" s="194">
        <v>3.309</v>
      </c>
      <c r="C4" s="195" t="s">
        <v>242</v>
      </c>
      <c r="D4" s="195" t="s">
        <v>241</v>
      </c>
      <c r="E4" s="194" t="s">
        <v>243</v>
      </c>
      <c r="F4" s="194"/>
      <c r="G4" s="194"/>
      <c r="H4" s="194"/>
      <c r="I4" s="194"/>
    </row>
    <row r="5" spans="1:9" ht="15">
      <c r="A5" s="194" t="s">
        <v>249</v>
      </c>
      <c r="B5" s="196">
        <v>0</v>
      </c>
      <c r="C5" s="195" t="s">
        <v>242</v>
      </c>
      <c r="D5" s="194" t="s">
        <v>244</v>
      </c>
      <c r="E5" s="194"/>
      <c r="F5" s="194"/>
      <c r="G5" s="194"/>
      <c r="H5" s="194"/>
      <c r="I5" s="194"/>
    </row>
    <row r="6" spans="1:9" ht="15">
      <c r="A6" s="194" t="s">
        <v>250</v>
      </c>
      <c r="B6" s="197">
        <v>0</v>
      </c>
      <c r="C6" s="195" t="s">
        <v>242</v>
      </c>
      <c r="D6" s="194" t="s">
        <v>255</v>
      </c>
      <c r="E6" s="194"/>
      <c r="F6" s="194"/>
      <c r="G6" s="194"/>
      <c r="H6" s="194"/>
      <c r="I6" s="194"/>
    </row>
    <row r="7" spans="1:9" ht="15">
      <c r="A7" s="194" t="s">
        <v>253</v>
      </c>
      <c r="B7" s="222">
        <f>B4-(B6+B5)</f>
        <v>3.309</v>
      </c>
      <c r="C7" s="195" t="s">
        <v>242</v>
      </c>
      <c r="D7" s="194"/>
      <c r="E7" s="194"/>
      <c r="F7" s="194"/>
      <c r="G7" s="194"/>
      <c r="H7" s="194"/>
      <c r="I7" s="194"/>
    </row>
    <row r="8" spans="1:8" ht="15">
      <c r="A8" s="194"/>
      <c r="B8" s="222"/>
      <c r="C8" s="194"/>
      <c r="D8" s="194"/>
      <c r="E8" s="194"/>
      <c r="F8" s="194"/>
      <c r="G8" s="194"/>
      <c r="H8" s="194"/>
    </row>
    <row r="9" spans="1:8" ht="15">
      <c r="A9" s="194" t="s">
        <v>251</v>
      </c>
      <c r="B9" s="222">
        <v>5.37</v>
      </c>
      <c r="C9" s="195" t="s">
        <v>245</v>
      </c>
      <c r="D9" s="195" t="s">
        <v>241</v>
      </c>
      <c r="E9" s="194" t="s">
        <v>246</v>
      </c>
      <c r="F9" s="194"/>
      <c r="G9" s="194"/>
      <c r="H9" s="194"/>
    </row>
    <row r="10" spans="1:9" ht="15">
      <c r="A10" s="194" t="s">
        <v>252</v>
      </c>
      <c r="B10" s="223">
        <v>0</v>
      </c>
      <c r="C10" s="195" t="s">
        <v>245</v>
      </c>
      <c r="D10" s="194" t="s">
        <v>256</v>
      </c>
      <c r="E10" s="194"/>
      <c r="F10" s="194"/>
      <c r="G10" s="194"/>
      <c r="H10" s="194"/>
      <c r="I10" s="194"/>
    </row>
    <row r="11" spans="1:8" ht="15">
      <c r="A11" s="194" t="s">
        <v>254</v>
      </c>
      <c r="B11" s="222">
        <f>B9-B10</f>
        <v>5.37</v>
      </c>
      <c r="C11" s="195" t="s">
        <v>245</v>
      </c>
      <c r="D11" s="194"/>
      <c r="E11" s="194"/>
      <c r="F11" s="194"/>
      <c r="G11" s="194"/>
      <c r="H11" s="194"/>
    </row>
    <row r="12" spans="1:8" ht="15">
      <c r="A12" s="194"/>
      <c r="B12" s="194"/>
      <c r="C12" s="194"/>
      <c r="D12" s="194"/>
      <c r="E12" s="194"/>
      <c r="F12" s="194"/>
      <c r="G12" s="194"/>
      <c r="H12" s="194"/>
    </row>
    <row r="13" spans="1:8" ht="15">
      <c r="A13" s="194"/>
      <c r="B13" s="313" t="s">
        <v>239</v>
      </c>
      <c r="C13" s="314"/>
      <c r="D13" s="315" t="s">
        <v>240</v>
      </c>
      <c r="E13" s="316"/>
      <c r="F13" s="200"/>
      <c r="G13" s="194"/>
      <c r="H13" s="194"/>
    </row>
    <row r="14" spans="1:8" ht="45.75">
      <c r="A14" s="194"/>
      <c r="B14" s="192" t="s">
        <v>257</v>
      </c>
      <c r="C14" s="201" t="s">
        <v>30</v>
      </c>
      <c r="D14" s="192" t="s">
        <v>247</v>
      </c>
      <c r="E14" s="201" t="s">
        <v>30</v>
      </c>
      <c r="F14" s="202" t="s">
        <v>174</v>
      </c>
      <c r="G14" s="74" t="s">
        <v>260</v>
      </c>
      <c r="H14" s="194"/>
    </row>
    <row r="15" spans="1:8" ht="15">
      <c r="A15" s="194"/>
      <c r="B15" s="203"/>
      <c r="C15" s="204"/>
      <c r="D15" s="203"/>
      <c r="E15" s="204"/>
      <c r="F15" s="205"/>
      <c r="G15" s="194"/>
      <c r="H15" s="194"/>
    </row>
    <row r="16" spans="1:8" ht="15">
      <c r="A16" s="194" t="s">
        <v>4</v>
      </c>
      <c r="B16" s="206">
        <f>'RtR Market EBS '!C63</f>
        <v>5627</v>
      </c>
      <c r="C16" s="207">
        <f>B16*$B$7*10</f>
        <v>186197.43000000002</v>
      </c>
      <c r="D16" s="246">
        <f>'RtR Market SS'!I70/1000</f>
        <v>6.384695606830923</v>
      </c>
      <c r="E16" s="207">
        <f>D16*$B$11*1000</f>
        <v>34285.81540868206</v>
      </c>
      <c r="F16" s="208">
        <f>C16+E16</f>
        <v>220483.2454086821</v>
      </c>
      <c r="G16" s="229">
        <f>F16/'RtR Market EBS '!E63</f>
        <v>29.56076130104686</v>
      </c>
      <c r="H16" s="194"/>
    </row>
    <row r="17" spans="1:7" ht="15">
      <c r="A17" t="s">
        <v>5</v>
      </c>
      <c r="B17" s="184">
        <f>'RtR Market EBS '!C64</f>
        <v>4931</v>
      </c>
      <c r="C17" s="19">
        <f aca="true" t="shared" si="0" ref="C17:C27">B17*$B$7*10</f>
        <v>163166.79</v>
      </c>
      <c r="D17" s="246">
        <f>'RtR Market SS'!I71/1000</f>
        <v>6.384695606830923</v>
      </c>
      <c r="E17" s="19">
        <f aca="true" t="shared" si="1" ref="E17:E27">D17*$B$11*1000</f>
        <v>34285.81540868206</v>
      </c>
      <c r="F17" s="186">
        <f aca="true" t="shared" si="2" ref="F17:F27">C17+E17</f>
        <v>197452.60540868208</v>
      </c>
      <c r="G17" s="229">
        <f>F17/'RtR Market EBS '!E64</f>
        <v>27.27846998619457</v>
      </c>
    </row>
    <row r="18" spans="1:7" ht="15">
      <c r="A18" t="s">
        <v>6</v>
      </c>
      <c r="B18" s="184">
        <f>'RtR Market EBS '!C65</f>
        <v>5294.65661028828</v>
      </c>
      <c r="C18" s="19">
        <f t="shared" si="0"/>
        <v>175200.1872344392</v>
      </c>
      <c r="D18" s="246">
        <f>'RtR Market SS'!I72/1000</f>
        <v>6.384695606830923</v>
      </c>
      <c r="E18" s="19">
        <f t="shared" si="1"/>
        <v>34285.81540868206</v>
      </c>
      <c r="F18" s="186">
        <f t="shared" si="2"/>
        <v>209486.00264312123</v>
      </c>
      <c r="G18" s="229">
        <f>F18/'RtR Market EBS '!E65</f>
        <v>25.11542156951432</v>
      </c>
    </row>
    <row r="19" spans="1:7" ht="15">
      <c r="A19" t="s">
        <v>7</v>
      </c>
      <c r="B19" s="184">
        <f>'RtR Market EBS '!C66</f>
        <v>4939</v>
      </c>
      <c r="C19" s="19">
        <f t="shared" si="0"/>
        <v>163431.51</v>
      </c>
      <c r="D19" s="246">
        <f>'RtR Market SS'!I73/1000</f>
        <v>6.384695606830923</v>
      </c>
      <c r="E19" s="19">
        <f t="shared" si="1"/>
        <v>34285.81540868206</v>
      </c>
      <c r="F19" s="186">
        <f t="shared" si="2"/>
        <v>197717.32540868205</v>
      </c>
      <c r="G19" s="229">
        <f>F19/'RtR Market EBS '!E66</f>
        <v>23.837306644719916</v>
      </c>
    </row>
    <row r="20" spans="1:7" ht="15">
      <c r="A20" t="s">
        <v>8</v>
      </c>
      <c r="B20" s="184">
        <f>'RtR Market EBS '!C67</f>
        <v>4048.12523904748</v>
      </c>
      <c r="C20" s="19">
        <f t="shared" si="0"/>
        <v>133952.46416008112</v>
      </c>
      <c r="D20" s="246">
        <f>'RtR Market SS'!I74/1000</f>
        <v>6.384695606830923</v>
      </c>
      <c r="E20" s="19">
        <f t="shared" si="1"/>
        <v>34285.81540868206</v>
      </c>
      <c r="F20" s="186">
        <f t="shared" si="2"/>
        <v>168238.27956876316</v>
      </c>
      <c r="G20" s="229">
        <f>F20/'RtR Market EBS '!E67</f>
        <v>18.924314138123513</v>
      </c>
    </row>
    <row r="21" spans="1:7" ht="15">
      <c r="A21" t="s">
        <v>9</v>
      </c>
      <c r="B21" s="184">
        <f>'RtR Market EBS '!C68</f>
        <v>3767.69344081986</v>
      </c>
      <c r="C21" s="19">
        <f t="shared" si="0"/>
        <v>124672.97595672918</v>
      </c>
      <c r="D21" s="246">
        <f>'RtR Market SS'!I75/1000</f>
        <v>6.384695606830923</v>
      </c>
      <c r="E21" s="19">
        <f t="shared" si="1"/>
        <v>34285.81540868206</v>
      </c>
      <c r="F21" s="186">
        <f t="shared" si="2"/>
        <v>158958.79136541125</v>
      </c>
      <c r="G21" s="229">
        <f>F21/'RtR Market EBS '!E68</f>
        <v>18.354263272510657</v>
      </c>
    </row>
    <row r="22" spans="1:7" ht="15">
      <c r="A22" t="s">
        <v>10</v>
      </c>
      <c r="B22" s="184">
        <f>'RtR Market EBS '!C69</f>
        <v>5874</v>
      </c>
      <c r="C22" s="19">
        <f t="shared" si="0"/>
        <v>194370.66000000003</v>
      </c>
      <c r="D22" s="246">
        <f>'RtR Market SS'!I76/1000</f>
        <v>14.695215747620914</v>
      </c>
      <c r="E22" s="19">
        <f t="shared" si="1"/>
        <v>78913.3085647243</v>
      </c>
      <c r="F22" s="186">
        <f t="shared" si="2"/>
        <v>273283.9685647243</v>
      </c>
      <c r="G22" s="229">
        <f>F22/'RtR Market EBS '!E69</f>
        <v>27.890172605695277</v>
      </c>
    </row>
    <row r="23" spans="1:7" ht="15">
      <c r="A23" t="s">
        <v>11</v>
      </c>
      <c r="B23" s="184">
        <f>'RtR Market EBS '!C70</f>
        <v>6329</v>
      </c>
      <c r="C23" s="19">
        <f t="shared" si="0"/>
        <v>209426.61</v>
      </c>
      <c r="D23" s="246">
        <f>'RtR Market SS'!I77/1000</f>
        <v>14.695215747620914</v>
      </c>
      <c r="E23" s="19">
        <f t="shared" si="1"/>
        <v>78913.3085647243</v>
      </c>
      <c r="F23" s="186">
        <f t="shared" si="2"/>
        <v>288339.91856472427</v>
      </c>
      <c r="G23" s="229">
        <f>F23/'RtR Market EBS '!E70</f>
        <v>27.69295467465878</v>
      </c>
    </row>
    <row r="24" spans="1:7" ht="15">
      <c r="A24" t="s">
        <v>12</v>
      </c>
      <c r="B24" s="184">
        <f>'RtR Market EBS '!C71</f>
        <v>7531</v>
      </c>
      <c r="C24" s="19">
        <f t="shared" si="0"/>
        <v>249200.79</v>
      </c>
      <c r="D24" s="246">
        <f>'RtR Market SS'!I78/1000</f>
        <v>13.158323556250817</v>
      </c>
      <c r="E24" s="19">
        <f t="shared" si="1"/>
        <v>70660.1974970669</v>
      </c>
      <c r="F24" s="186">
        <f t="shared" si="2"/>
        <v>319860.9874970669</v>
      </c>
      <c r="G24" s="229">
        <f>F24/'RtR Market EBS '!E71</f>
        <v>20.82054878634415</v>
      </c>
    </row>
    <row r="25" spans="1:7" ht="15">
      <c r="A25" t="s">
        <v>13</v>
      </c>
      <c r="B25" s="184">
        <f>'RtR Market EBS '!C72</f>
        <v>9601</v>
      </c>
      <c r="C25" s="19">
        <f t="shared" si="0"/>
        <v>317697.09</v>
      </c>
      <c r="D25" s="246">
        <f>'RtR Market SS'!I79/1000</f>
        <v>14.695215747620914</v>
      </c>
      <c r="E25" s="19">
        <f t="shared" si="1"/>
        <v>78913.3085647243</v>
      </c>
      <c r="F25" s="186">
        <f t="shared" si="2"/>
        <v>396610.3985647243</v>
      </c>
      <c r="G25" s="229">
        <f>F25/'RtR Market EBS '!E72</f>
        <v>24.99254268627605</v>
      </c>
    </row>
    <row r="26" spans="1:7" ht="15">
      <c r="A26" t="s">
        <v>14</v>
      </c>
      <c r="B26" s="184">
        <f>'RtR Market EBS '!C73</f>
        <v>10841</v>
      </c>
      <c r="C26" s="19">
        <f t="shared" si="0"/>
        <v>358728.69</v>
      </c>
      <c r="D26" s="246">
        <f>'RtR Market SS'!I80/1000</f>
        <v>14.695215747620914</v>
      </c>
      <c r="E26" s="19">
        <f t="shared" si="1"/>
        <v>78913.3085647243</v>
      </c>
      <c r="F26" s="186">
        <f t="shared" si="2"/>
        <v>437641.9985647243</v>
      </c>
      <c r="G26" s="229">
        <f>F26/'RtR Market EBS '!E73</f>
        <v>27.030993040674005</v>
      </c>
    </row>
    <row r="27" spans="1:7" ht="17.25">
      <c r="A27" t="s">
        <v>15</v>
      </c>
      <c r="B27" s="185">
        <f>'RtR Market EBS '!C74</f>
        <v>10931</v>
      </c>
      <c r="C27" s="21">
        <f t="shared" si="0"/>
        <v>361706.79000000004</v>
      </c>
      <c r="D27" s="247">
        <f>'RtR Market SS'!I81/1000</f>
        <v>14.695215747620914</v>
      </c>
      <c r="E27" s="21">
        <f t="shared" si="1"/>
        <v>78913.3085647243</v>
      </c>
      <c r="F27" s="187">
        <f t="shared" si="2"/>
        <v>440620.0985647243</v>
      </c>
      <c r="G27" s="230">
        <f>F27/'RtR Market EBS '!E74</f>
        <v>26.963103180951666</v>
      </c>
    </row>
    <row r="28" spans="1:7" ht="15">
      <c r="A28" t="s">
        <v>24</v>
      </c>
      <c r="B28" s="184">
        <f>SUM(B16:B27)</f>
        <v>79714.47529015562</v>
      </c>
      <c r="C28" s="19">
        <f>SUM(C16:C27)</f>
        <v>2637751.98735125</v>
      </c>
      <c r="D28" s="246">
        <f>SUM(D16:D27)</f>
        <v>124.94257593534095</v>
      </c>
      <c r="E28" s="19">
        <f>SUM(E16:E27)</f>
        <v>670941.6327727806</v>
      </c>
      <c r="F28" s="186">
        <f>SUM(F16:F27)</f>
        <v>3308693.6201240304</v>
      </c>
      <c r="G28" s="229">
        <f>F28/'RtR Market EBS '!E75</f>
        <v>24.904066040842782</v>
      </c>
    </row>
    <row r="29" spans="2:6" ht="6.75" customHeight="1">
      <c r="B29" s="24"/>
      <c r="C29" s="26"/>
      <c r="D29" s="24"/>
      <c r="E29" s="26"/>
      <c r="F29" s="84"/>
    </row>
  </sheetData>
  <sheetProtection/>
  <mergeCells count="2">
    <mergeCell ref="B13:C13"/>
    <mergeCell ref="D13:E13"/>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L167"/>
  <sheetViews>
    <sheetView zoomScalePageLayoutView="0" workbookViewId="0" topLeftCell="A1">
      <pane xSplit="1" ySplit="5" topLeftCell="B6" activePane="bottomRight" state="frozen"/>
      <selection pane="topLeft" activeCell="A1" sqref="A1"/>
      <selection pane="topRight" activeCell="D1" sqref="D1"/>
      <selection pane="bottomLeft" activeCell="A4" sqref="A4"/>
      <selection pane="bottomRight" activeCell="B6" sqref="B6"/>
    </sheetView>
  </sheetViews>
  <sheetFormatPr defaultColWidth="8.88671875" defaultRowHeight="15"/>
  <cols>
    <col min="2" max="2" width="10.99609375" style="0" bestFit="1" customWidth="1"/>
    <col min="3" max="3" width="9.99609375" style="0" bestFit="1" customWidth="1"/>
    <col min="4" max="5" width="10.99609375" style="0" bestFit="1" customWidth="1"/>
    <col min="6" max="7" width="9.99609375" style="0" bestFit="1" customWidth="1"/>
    <col min="8" max="8" width="12.10546875" style="0" customWidth="1"/>
    <col min="9" max="9" width="10.99609375" style="0" bestFit="1" customWidth="1"/>
    <col min="10" max="11" width="9.99609375" style="0" bestFit="1" customWidth="1"/>
    <col min="12" max="12" width="11.99609375" style="0" bestFit="1" customWidth="1"/>
  </cols>
  <sheetData>
    <row r="1" ht="15.75">
      <c r="A1" s="6" t="s">
        <v>193</v>
      </c>
    </row>
    <row r="2" ht="11.25" customHeight="1">
      <c r="A2" s="6"/>
    </row>
    <row r="3" spans="1:2" ht="15">
      <c r="A3" t="s">
        <v>28</v>
      </c>
      <c r="B3" s="175">
        <v>0.03195964887946218</v>
      </c>
    </row>
    <row r="4" spans="2:11" ht="45">
      <c r="B4" s="3" t="s">
        <v>0</v>
      </c>
      <c r="C4" s="3" t="s">
        <v>16</v>
      </c>
      <c r="D4" s="3" t="s">
        <v>1</v>
      </c>
      <c r="E4" s="3" t="s">
        <v>17</v>
      </c>
      <c r="F4" s="3" t="s">
        <v>18</v>
      </c>
      <c r="G4" s="3" t="s">
        <v>19</v>
      </c>
      <c r="H4" s="3" t="s">
        <v>20</v>
      </c>
      <c r="I4" s="3" t="s">
        <v>20</v>
      </c>
      <c r="J4" s="3" t="s">
        <v>21</v>
      </c>
      <c r="K4" s="3" t="s">
        <v>20</v>
      </c>
    </row>
    <row r="5" spans="2:11" ht="30">
      <c r="B5" s="3"/>
      <c r="C5" s="3"/>
      <c r="D5" s="3"/>
      <c r="E5" s="3"/>
      <c r="F5" s="3"/>
      <c r="G5" s="3"/>
      <c r="H5" s="3"/>
      <c r="I5" s="3" t="s">
        <v>23</v>
      </c>
      <c r="J5" s="3"/>
      <c r="K5" t="s">
        <v>24</v>
      </c>
    </row>
    <row r="7" ht="15.75">
      <c r="A7" s="6" t="s">
        <v>221</v>
      </c>
    </row>
    <row r="9" spans="1:11" ht="15">
      <c r="A9" t="s">
        <v>4</v>
      </c>
      <c r="B9" s="2">
        <v>565794.645836764</v>
      </c>
      <c r="C9" s="2">
        <v>28484.41206706951</v>
      </c>
      <c r="D9" s="2">
        <v>247587.29981692525</v>
      </c>
      <c r="E9" s="2">
        <v>34337.52055047942</v>
      </c>
      <c r="F9" s="2">
        <v>23619.616823288216</v>
      </c>
      <c r="G9" s="2">
        <v>44810.190010787584</v>
      </c>
      <c r="H9" s="2">
        <f>H25*(1+H41)</f>
        <v>68105.11417014665</v>
      </c>
      <c r="I9" s="2"/>
      <c r="J9" s="2">
        <v>11372.521811408022</v>
      </c>
      <c r="K9" s="2">
        <v>64800.07161685793</v>
      </c>
    </row>
    <row r="10" spans="1:11" ht="15">
      <c r="A10" t="s">
        <v>5</v>
      </c>
      <c r="B10" s="2">
        <v>492139.96687803324</v>
      </c>
      <c r="C10" s="2">
        <v>26241.22666863464</v>
      </c>
      <c r="D10" s="2">
        <v>233676.81216248372</v>
      </c>
      <c r="E10" s="2">
        <v>32218.339738076822</v>
      </c>
      <c r="F10" s="2">
        <v>22709.190378748477</v>
      </c>
      <c r="G10" s="2">
        <v>40567.24947589359</v>
      </c>
      <c r="H10" s="2">
        <f aca="true" t="shared" si="0" ref="H10:H20">H26*(1+H42)</f>
        <v>62556.58376771023</v>
      </c>
      <c r="I10" s="2"/>
      <c r="J10" s="2">
        <v>9613.225281104185</v>
      </c>
      <c r="K10" s="2">
        <v>59323.083909768306</v>
      </c>
    </row>
    <row r="11" spans="1:11" ht="15">
      <c r="A11" t="s">
        <v>6</v>
      </c>
      <c r="B11" s="2">
        <v>489855.993098197</v>
      </c>
      <c r="C11" s="2">
        <v>25129.27430835759</v>
      </c>
      <c r="D11" s="2">
        <v>241815.89320265254</v>
      </c>
      <c r="E11" s="2">
        <v>33728.13011001599</v>
      </c>
      <c r="F11" s="2">
        <v>22903.222571191345</v>
      </c>
      <c r="G11" s="2">
        <v>43469.247915275795</v>
      </c>
      <c r="H11" s="2">
        <f t="shared" si="0"/>
        <v>66014.67626794626</v>
      </c>
      <c r="I11" s="2"/>
      <c r="J11" s="2">
        <v>9457.566497505917</v>
      </c>
      <c r="K11" s="2">
        <v>62347.4474633282</v>
      </c>
    </row>
    <row r="12" spans="1:11" ht="15">
      <c r="A12" t="s">
        <v>7</v>
      </c>
      <c r="B12" s="2">
        <v>387515.3837206413</v>
      </c>
      <c r="C12" s="2">
        <v>21142.185165749324</v>
      </c>
      <c r="D12" s="2">
        <v>208385.89764793994</v>
      </c>
      <c r="E12" s="2">
        <v>30795.81715832671</v>
      </c>
      <c r="F12" s="2">
        <v>21730.781410663443</v>
      </c>
      <c r="G12" s="2">
        <v>43176.02701336809</v>
      </c>
      <c r="H12" s="2">
        <f t="shared" si="0"/>
        <v>65830.17336205336</v>
      </c>
      <c r="I12" s="2"/>
      <c r="J12" s="2">
        <v>8441.657725720053</v>
      </c>
      <c r="K12" s="2">
        <v>62378.52688048237</v>
      </c>
    </row>
    <row r="13" spans="1:11" ht="15">
      <c r="A13" t="s">
        <v>8</v>
      </c>
      <c r="B13" s="2">
        <v>347873.3173137099</v>
      </c>
      <c r="C13" s="2">
        <v>19387.105176019813</v>
      </c>
      <c r="D13" s="2">
        <v>198532.059589515</v>
      </c>
      <c r="E13" s="2">
        <v>32353.121501241523</v>
      </c>
      <c r="F13" s="2">
        <v>21974.41510287904</v>
      </c>
      <c r="G13" s="2">
        <v>42913.73366680584</v>
      </c>
      <c r="H13" s="2">
        <f t="shared" si="0"/>
        <v>71030.91406589797</v>
      </c>
      <c r="I13" s="2"/>
      <c r="J13" s="2">
        <v>7779.426844416779</v>
      </c>
      <c r="K13" s="2">
        <v>66912.80750596359</v>
      </c>
    </row>
    <row r="14" spans="1:11" ht="15">
      <c r="A14" t="s">
        <v>9</v>
      </c>
      <c r="B14" s="2">
        <v>280139.77421087667</v>
      </c>
      <c r="C14" s="2">
        <v>18120.735628890772</v>
      </c>
      <c r="D14" s="2">
        <v>199554.96572229598</v>
      </c>
      <c r="E14" s="2">
        <v>31760.66418755711</v>
      </c>
      <c r="F14" s="2">
        <v>22688.7123737632</v>
      </c>
      <c r="G14" s="2">
        <v>44446.92966314456</v>
      </c>
      <c r="H14" s="2">
        <f t="shared" si="0"/>
        <v>67699.45815077942</v>
      </c>
      <c r="I14" s="2"/>
      <c r="J14" s="2">
        <v>6903.365108820803</v>
      </c>
      <c r="K14" s="2">
        <v>64461.90651796003</v>
      </c>
    </row>
    <row r="15" spans="1:11" ht="15">
      <c r="A15" t="s">
        <v>10</v>
      </c>
      <c r="B15" s="2">
        <v>281595.6399494103</v>
      </c>
      <c r="C15" s="2">
        <v>18739.94279966966</v>
      </c>
      <c r="D15" s="2">
        <v>215558.5522308811</v>
      </c>
      <c r="E15" s="2">
        <v>37048.89168574965</v>
      </c>
      <c r="F15" s="2">
        <v>23047.717935839108</v>
      </c>
      <c r="G15" s="2">
        <v>44364.14954790836</v>
      </c>
      <c r="H15" s="2">
        <f t="shared" si="0"/>
        <v>73675.26272153574</v>
      </c>
      <c r="I15" s="2"/>
      <c r="J15" s="2">
        <v>7201.422779659505</v>
      </c>
      <c r="K15" s="2">
        <v>70218.24797584064</v>
      </c>
    </row>
    <row r="16" spans="1:11" ht="15">
      <c r="A16" t="s">
        <v>11</v>
      </c>
      <c r="B16" s="2">
        <v>278380.1779367104</v>
      </c>
      <c r="C16" s="2">
        <v>19090.544974515607</v>
      </c>
      <c r="D16" s="2">
        <v>210639.74590980646</v>
      </c>
      <c r="E16" s="2">
        <v>37807.68787100702</v>
      </c>
      <c r="F16" s="2">
        <v>23173.419516053917</v>
      </c>
      <c r="G16" s="2">
        <v>44760.6403435105</v>
      </c>
      <c r="H16" s="2">
        <f t="shared" si="0"/>
        <v>79636.27000545787</v>
      </c>
      <c r="I16" s="2"/>
      <c r="J16" s="2">
        <v>7838.884010434208</v>
      </c>
      <c r="K16" s="2">
        <v>75308.51495364645</v>
      </c>
    </row>
    <row r="17" spans="1:11" ht="15">
      <c r="A17" t="s">
        <v>12</v>
      </c>
      <c r="B17" s="2">
        <v>275385.5645690989</v>
      </c>
      <c r="C17" s="2">
        <v>17047.538174479967</v>
      </c>
      <c r="D17" s="2">
        <v>192941.01417534766</v>
      </c>
      <c r="E17" s="2">
        <v>34639.883450999056</v>
      </c>
      <c r="F17" s="2">
        <v>21459.421393337983</v>
      </c>
      <c r="G17" s="2">
        <v>43187.36967705111</v>
      </c>
      <c r="H17" s="2">
        <f t="shared" si="0"/>
        <v>74450.18457482122</v>
      </c>
      <c r="I17" s="2"/>
      <c r="J17" s="2">
        <v>8338.593192135468</v>
      </c>
      <c r="K17" s="2">
        <v>71072.1613408637</v>
      </c>
    </row>
    <row r="18" spans="1:11" ht="15">
      <c r="A18" t="s">
        <v>13</v>
      </c>
      <c r="B18" s="2">
        <v>321622.4231893168</v>
      </c>
      <c r="C18" s="2">
        <v>19047.41490734589</v>
      </c>
      <c r="D18" s="2">
        <v>202276.98565776728</v>
      </c>
      <c r="E18" s="2">
        <v>34094.2172224484</v>
      </c>
      <c r="F18" s="2">
        <v>19939.670708231944</v>
      </c>
      <c r="G18" s="2">
        <v>43870.89379395561</v>
      </c>
      <c r="H18" s="2">
        <f t="shared" si="0"/>
        <v>73124.0849636252</v>
      </c>
      <c r="I18" s="2"/>
      <c r="J18" s="2">
        <v>8954.491199563372</v>
      </c>
      <c r="K18" s="2">
        <v>69289.99542892963</v>
      </c>
    </row>
    <row r="19" spans="1:11" ht="15">
      <c r="A19" t="s">
        <v>14</v>
      </c>
      <c r="B19" s="2">
        <v>378847.16947439464</v>
      </c>
      <c r="C19" s="2">
        <v>20100.258103682096</v>
      </c>
      <c r="D19" s="2">
        <v>209826.08178788258</v>
      </c>
      <c r="E19" s="2">
        <v>31810.25521753216</v>
      </c>
      <c r="F19" s="2">
        <v>21870.278461145754</v>
      </c>
      <c r="G19" s="2">
        <v>42791.33915274381</v>
      </c>
      <c r="H19" s="2">
        <f t="shared" si="0"/>
        <v>71689.55439838594</v>
      </c>
      <c r="I19" s="2"/>
      <c r="J19" s="2">
        <v>10539.332228399846</v>
      </c>
      <c r="K19" s="2">
        <v>68204.96020183871</v>
      </c>
    </row>
    <row r="20" spans="1:11" ht="17.25">
      <c r="A20" t="s">
        <v>15</v>
      </c>
      <c r="B20" s="5">
        <v>516741.5342631332</v>
      </c>
      <c r="C20" s="5">
        <v>25453.406415318153</v>
      </c>
      <c r="D20" s="5">
        <v>242286.27729562385</v>
      </c>
      <c r="E20" s="5">
        <v>32855.69518239899</v>
      </c>
      <c r="F20" s="5">
        <v>25688.88168666101</v>
      </c>
      <c r="G20" s="5">
        <v>44155.56206384771</v>
      </c>
      <c r="H20" s="5">
        <f t="shared" si="0"/>
        <v>62314.14495978453</v>
      </c>
      <c r="I20" s="5"/>
      <c r="J20" s="5">
        <v>11813.60455507179</v>
      </c>
      <c r="K20" s="5">
        <v>58526.7613164863</v>
      </c>
    </row>
    <row r="21" spans="1:11" ht="15">
      <c r="A21" t="s">
        <v>24</v>
      </c>
      <c r="B21" s="4">
        <f>SUM(B9:B20)</f>
        <v>4615891.590440286</v>
      </c>
      <c r="C21" s="4">
        <f aca="true" t="shared" si="1" ref="C21:J21">SUM(C9:C20)</f>
        <v>257984.04438973306</v>
      </c>
      <c r="D21" s="4">
        <f t="shared" si="1"/>
        <v>2603081.5851991214</v>
      </c>
      <c r="E21" s="4">
        <f t="shared" si="1"/>
        <v>403450.22387583286</v>
      </c>
      <c r="F21" s="4">
        <f t="shared" si="1"/>
        <v>270805.32836180343</v>
      </c>
      <c r="G21" s="4">
        <f t="shared" si="1"/>
        <v>522513.3323242925</v>
      </c>
      <c r="H21" s="4">
        <f t="shared" si="1"/>
        <v>836126.4214081445</v>
      </c>
      <c r="I21" s="4">
        <f t="shared" si="1"/>
        <v>0</v>
      </c>
      <c r="J21" s="4">
        <f t="shared" si="1"/>
        <v>108254.09123423995</v>
      </c>
      <c r="K21" s="4">
        <f>SUM(K9:K20)</f>
        <v>792844.4851119659</v>
      </c>
    </row>
    <row r="23" ht="15.75">
      <c r="A23" s="6" t="s">
        <v>222</v>
      </c>
    </row>
    <row r="25" spans="1:12" ht="15">
      <c r="A25" t="s">
        <v>4</v>
      </c>
      <c r="B25" s="2">
        <v>511323.1586200606</v>
      </c>
      <c r="C25" s="2">
        <v>25940.076012745983</v>
      </c>
      <c r="D25" s="2">
        <v>232863.47254545073</v>
      </c>
      <c r="E25" s="2">
        <v>32197.718636898586</v>
      </c>
      <c r="F25" s="2">
        <v>22361.721949481936</v>
      </c>
      <c r="G25" s="2">
        <v>42635.616388656796</v>
      </c>
      <c r="H25" s="2">
        <v>64800.07161685793</v>
      </c>
      <c r="I25" s="2">
        <f>K25*0.66</f>
        <v>42768.04726712624</v>
      </c>
      <c r="J25" s="2">
        <v>10249.996682529916</v>
      </c>
      <c r="K25" s="2">
        <v>64800.07161685793</v>
      </c>
      <c r="L25" s="4"/>
    </row>
    <row r="26" spans="1:12" ht="15">
      <c r="A26" t="s">
        <v>5</v>
      </c>
      <c r="B26" s="2">
        <v>443588.0683907557</v>
      </c>
      <c r="C26" s="2">
        <v>23823.11237564114</v>
      </c>
      <c r="D26" s="2">
        <v>219463.5426887627</v>
      </c>
      <c r="E26" s="2">
        <v>30297.075980668338</v>
      </c>
      <c r="F26" s="2">
        <v>21437.95740062755</v>
      </c>
      <c r="G26" s="2">
        <v>38470.3607470512</v>
      </c>
      <c r="H26" s="2">
        <v>59323.083909768306</v>
      </c>
      <c r="I26" s="2">
        <f aca="true" t="shared" si="2" ref="I26:I36">K26*0.66</f>
        <v>39153.235380447084</v>
      </c>
      <c r="J26" s="2">
        <v>8686.699139546974</v>
      </c>
      <c r="K26" s="2">
        <v>59323.083909768306</v>
      </c>
      <c r="L26" s="4"/>
    </row>
    <row r="27" spans="1:12" ht="15">
      <c r="A27" t="s">
        <v>6</v>
      </c>
      <c r="B27" s="2">
        <v>444122.09784448816</v>
      </c>
      <c r="C27" s="2">
        <v>22815.419092229593</v>
      </c>
      <c r="D27" s="2">
        <v>226222.68893814893</v>
      </c>
      <c r="E27" s="2">
        <v>31583.348810196636</v>
      </c>
      <c r="F27" s="2">
        <v>21501.621775844716</v>
      </c>
      <c r="G27" s="2">
        <v>41054.45643128899</v>
      </c>
      <c r="H27" s="2">
        <v>62347.44746332821</v>
      </c>
      <c r="I27" s="2">
        <f t="shared" si="2"/>
        <v>41149.31532579661</v>
      </c>
      <c r="J27" s="2">
        <v>8592.467696910919</v>
      </c>
      <c r="K27" s="2">
        <v>62347.4474633282</v>
      </c>
      <c r="L27" s="4"/>
    </row>
    <row r="28" spans="1:12" ht="15">
      <c r="A28" t="s">
        <v>7</v>
      </c>
      <c r="B28" s="2">
        <v>355099.27798373095</v>
      </c>
      <c r="C28" s="2">
        <v>19350.261482460148</v>
      </c>
      <c r="D28" s="2">
        <v>196395.15764755796</v>
      </c>
      <c r="E28" s="2">
        <v>28990.989199365165</v>
      </c>
      <c r="F28" s="2">
        <v>20513.462195163764</v>
      </c>
      <c r="G28" s="2">
        <v>40912.19609636171</v>
      </c>
      <c r="H28" s="2">
        <v>62378.52688048237</v>
      </c>
      <c r="I28" s="2">
        <f t="shared" si="2"/>
        <v>41169.827741118366</v>
      </c>
      <c r="J28" s="2">
        <v>7705.180660830718</v>
      </c>
      <c r="K28" s="2">
        <v>62378.52688048237</v>
      </c>
      <c r="L28" s="4"/>
    </row>
    <row r="29" spans="1:12" ht="15">
      <c r="A29" t="s">
        <v>8</v>
      </c>
      <c r="B29" s="2">
        <v>318784.7237827936</v>
      </c>
      <c r="C29" s="2">
        <v>17731.108221485076</v>
      </c>
      <c r="D29" s="2">
        <v>186425.1602872134</v>
      </c>
      <c r="E29" s="2">
        <v>30350.484898260125</v>
      </c>
      <c r="F29" s="2">
        <v>20675.17055403943</v>
      </c>
      <c r="G29" s="2">
        <v>40425.7559961173</v>
      </c>
      <c r="H29" s="2">
        <v>66912.80750596359</v>
      </c>
      <c r="I29" s="2">
        <f t="shared" si="2"/>
        <v>44162.45295393597</v>
      </c>
      <c r="J29" s="2">
        <v>7025.831400259501</v>
      </c>
      <c r="K29" s="2">
        <v>66912.80750596359</v>
      </c>
      <c r="L29" s="4"/>
    </row>
    <row r="30" spans="1:12" ht="15">
      <c r="A30" t="s">
        <v>9</v>
      </c>
      <c r="B30" s="2">
        <v>261026.3648255712</v>
      </c>
      <c r="C30" s="2">
        <v>16884.972528881903</v>
      </c>
      <c r="D30" s="2">
        <v>188796.8247176232</v>
      </c>
      <c r="E30" s="2">
        <v>30158.76447786993</v>
      </c>
      <c r="F30" s="2">
        <v>21583.51809706368</v>
      </c>
      <c r="G30" s="2">
        <v>42321.37011458463</v>
      </c>
      <c r="H30" s="2">
        <v>64461.90651796003</v>
      </c>
      <c r="I30" s="2">
        <f t="shared" si="2"/>
        <v>42544.85830185362</v>
      </c>
      <c r="J30" s="2">
        <v>6254.997750148299</v>
      </c>
      <c r="K30" s="2">
        <v>64461.90651796003</v>
      </c>
      <c r="L30" s="4"/>
    </row>
    <row r="31" spans="1:12" ht="15">
      <c r="A31" t="s">
        <v>10</v>
      </c>
      <c r="B31" s="2">
        <v>262367.9676980106</v>
      </c>
      <c r="C31" s="2">
        <v>17401.177693308473</v>
      </c>
      <c r="D31" s="2">
        <v>203543.703735681</v>
      </c>
      <c r="E31" s="2">
        <v>34993.39820284459</v>
      </c>
      <c r="F31" s="2">
        <v>21940.036653521438</v>
      </c>
      <c r="G31" s="2">
        <v>42282.480429916715</v>
      </c>
      <c r="H31" s="2">
        <v>70218.24797584064</v>
      </c>
      <c r="I31" s="2">
        <f t="shared" si="2"/>
        <v>46344.04366405483</v>
      </c>
      <c r="J31" s="2">
        <v>6518.4466144023045</v>
      </c>
      <c r="K31" s="2">
        <v>70218.24797584064</v>
      </c>
      <c r="L31" s="4"/>
    </row>
    <row r="32" spans="1:12" ht="15">
      <c r="A32" t="s">
        <v>11</v>
      </c>
      <c r="B32" s="2">
        <v>256954.83160990503</v>
      </c>
      <c r="C32" s="2">
        <v>17517.54682631722</v>
      </c>
      <c r="D32" s="2">
        <v>197750.14536132265</v>
      </c>
      <c r="E32" s="2">
        <v>35375.37274299361</v>
      </c>
      <c r="F32" s="2">
        <v>21898.79562965362</v>
      </c>
      <c r="G32" s="2">
        <v>42328.16720839674</v>
      </c>
      <c r="H32" s="2">
        <v>75308.51495364645</v>
      </c>
      <c r="I32" s="2">
        <f t="shared" si="2"/>
        <v>49703.619869406655</v>
      </c>
      <c r="J32" s="2">
        <v>7079.105824077341</v>
      </c>
      <c r="K32" s="2">
        <v>75308.51495364645</v>
      </c>
      <c r="L32" s="4"/>
    </row>
    <row r="33" spans="1:12" ht="15">
      <c r="A33" t="s">
        <v>12</v>
      </c>
      <c r="B33" s="2">
        <v>257377.76659437196</v>
      </c>
      <c r="C33" s="2">
        <v>15860.080904901653</v>
      </c>
      <c r="D33" s="2">
        <v>183112.36019421887</v>
      </c>
      <c r="E33" s="2">
        <v>33004.47798157613</v>
      </c>
      <c r="F33" s="2">
        <v>20469.805423753085</v>
      </c>
      <c r="G33" s="2">
        <v>41227.832047752476</v>
      </c>
      <c r="H33" s="2">
        <v>71072.1613408637</v>
      </c>
      <c r="I33" s="2">
        <f t="shared" si="2"/>
        <v>46907.626484970046</v>
      </c>
      <c r="J33" s="2">
        <v>7656.363544247513</v>
      </c>
      <c r="K33" s="2">
        <v>71072.1613408637</v>
      </c>
      <c r="L33" s="4"/>
    </row>
    <row r="34" spans="1:12" ht="15">
      <c r="A34" t="s">
        <v>13</v>
      </c>
      <c r="B34" s="2">
        <v>296519.666184366</v>
      </c>
      <c r="C34" s="2">
        <v>17688.970962039002</v>
      </c>
      <c r="D34" s="2">
        <v>190621.2926101837</v>
      </c>
      <c r="E34" s="2">
        <v>32112.225291978135</v>
      </c>
      <c r="F34" s="2">
        <v>18852.779676628074</v>
      </c>
      <c r="G34" s="2">
        <v>41570.62658573253</v>
      </c>
      <c r="H34" s="2">
        <v>69289.99542892963</v>
      </c>
      <c r="I34" s="2">
        <f t="shared" si="2"/>
        <v>45731.39698309356</v>
      </c>
      <c r="J34" s="2">
        <v>8247.492279043412</v>
      </c>
      <c r="K34" s="2">
        <v>69289.99542892963</v>
      </c>
      <c r="L34" s="4"/>
    </row>
    <row r="35" spans="1:12" ht="15">
      <c r="A35" t="s">
        <v>14</v>
      </c>
      <c r="B35" s="2">
        <v>347244.98822365026</v>
      </c>
      <c r="C35" s="2">
        <v>18516.754664218588</v>
      </c>
      <c r="D35" s="2">
        <v>198291.40778815636</v>
      </c>
      <c r="E35" s="2">
        <v>30010.58056000978</v>
      </c>
      <c r="F35" s="2">
        <v>20677.916208109844</v>
      </c>
      <c r="G35" s="2">
        <v>40711.39245304033</v>
      </c>
      <c r="H35" s="2">
        <v>68204.96020183871</v>
      </c>
      <c r="I35" s="2">
        <f t="shared" si="2"/>
        <v>45015.27373321355</v>
      </c>
      <c r="J35" s="2">
        <v>9634.993884195344</v>
      </c>
      <c r="K35" s="2">
        <v>68204.96020183871</v>
      </c>
      <c r="L35" s="4"/>
    </row>
    <row r="36" spans="1:12" ht="17.25">
      <c r="A36" t="s">
        <v>15</v>
      </c>
      <c r="B36" s="5">
        <v>462128.59959209384</v>
      </c>
      <c r="C36" s="5">
        <v>23127.144246579803</v>
      </c>
      <c r="D36" s="5">
        <v>225199.28058400145</v>
      </c>
      <c r="E36" s="5">
        <v>30574.733046169866</v>
      </c>
      <c r="F36" s="5">
        <v>23979.83296904779</v>
      </c>
      <c r="G36" s="5">
        <v>41471.83666523743</v>
      </c>
      <c r="H36" s="5">
        <v>58526.7613164863</v>
      </c>
      <c r="I36" s="5">
        <f t="shared" si="2"/>
        <v>38627.66246888096</v>
      </c>
      <c r="J36" s="5">
        <v>10594.46751298803</v>
      </c>
      <c r="K36" s="5">
        <v>58526.7613164863</v>
      </c>
      <c r="L36" s="233"/>
    </row>
    <row r="37" spans="1:12" ht="15">
      <c r="A37" t="s">
        <v>24</v>
      </c>
      <c r="B37" s="4">
        <f>SUM(B25:B36)</f>
        <v>4216537.511349799</v>
      </c>
      <c r="C37" s="4">
        <f aca="true" t="shared" si="3" ref="C37:J37">SUM(C25:C36)</f>
        <v>236656.62501080858</v>
      </c>
      <c r="D37" s="4">
        <f t="shared" si="3"/>
        <v>2448685.037098321</v>
      </c>
      <c r="E37" s="4">
        <f t="shared" si="3"/>
        <v>379649.16982883087</v>
      </c>
      <c r="F37" s="4">
        <f t="shared" si="3"/>
        <v>255892.61853293492</v>
      </c>
      <c r="G37" s="4">
        <f t="shared" si="3"/>
        <v>495412.09116413683</v>
      </c>
      <c r="H37" s="4">
        <f t="shared" si="3"/>
        <v>792844.4851119659</v>
      </c>
      <c r="I37" s="4">
        <f t="shared" si="3"/>
        <v>523277.36017389747</v>
      </c>
      <c r="J37" s="4">
        <f t="shared" si="3"/>
        <v>98246.04298918026</v>
      </c>
      <c r="K37" s="4">
        <f>SUM(K25:K36)</f>
        <v>792844.4851119659</v>
      </c>
      <c r="L37" s="4"/>
    </row>
    <row r="39" ht="15.75">
      <c r="A39" s="6" t="s">
        <v>100</v>
      </c>
    </row>
    <row r="41" spans="1:11" ht="15">
      <c r="A41" t="s">
        <v>4</v>
      </c>
      <c r="B41" s="9">
        <f>B9/B25-1</f>
        <v>0.10653045202120115</v>
      </c>
      <c r="C41" s="9">
        <f aca="true" t="shared" si="4" ref="C41:J41">C9/C25-1</f>
        <v>0.09808514258297985</v>
      </c>
      <c r="D41" s="9">
        <f t="shared" si="4"/>
        <v>0.06322944131394714</v>
      </c>
      <c r="E41" s="9">
        <f t="shared" si="4"/>
        <v>0.0664581841251517</v>
      </c>
      <c r="F41" s="9">
        <f t="shared" si="4"/>
        <v>0.056252147157898946</v>
      </c>
      <c r="G41" s="9">
        <f t="shared" si="4"/>
        <v>0.05100368673711331</v>
      </c>
      <c r="H41" s="9">
        <f aca="true" t="shared" si="5" ref="H41:H53">G41</f>
        <v>0.05100368673711331</v>
      </c>
      <c r="I41" s="9"/>
      <c r="J41" s="9">
        <f t="shared" si="4"/>
        <v>0.10951468216485738</v>
      </c>
      <c r="K41" s="9">
        <v>0.03902432862570772</v>
      </c>
    </row>
    <row r="42" spans="1:11" ht="15">
      <c r="A42" t="s">
        <v>5</v>
      </c>
      <c r="B42" s="9">
        <f aca="true" t="shared" si="6" ref="B42:J42">B10/B26-1</f>
        <v>0.10945267004906967</v>
      </c>
      <c r="C42" s="9">
        <f t="shared" si="6"/>
        <v>0.10150287061005492</v>
      </c>
      <c r="D42" s="9">
        <f t="shared" si="6"/>
        <v>0.06476369286482297</v>
      </c>
      <c r="E42" s="9">
        <f t="shared" si="6"/>
        <v>0.06341416441092806</v>
      </c>
      <c r="F42" s="9">
        <f t="shared" si="6"/>
        <v>0.0592982323065776</v>
      </c>
      <c r="G42" s="9">
        <f t="shared" si="6"/>
        <v>0.05450660425645015</v>
      </c>
      <c r="H42" s="9">
        <f t="shared" si="5"/>
        <v>0.05450660425645015</v>
      </c>
      <c r="I42" s="9"/>
      <c r="J42" s="9">
        <f t="shared" si="6"/>
        <v>0.106660323636526</v>
      </c>
      <c r="K42" s="9">
        <v>0.04119055986230931</v>
      </c>
    </row>
    <row r="43" spans="1:11" ht="15">
      <c r="A43" t="s">
        <v>6</v>
      </c>
      <c r="B43" s="9">
        <f aca="true" t="shared" si="7" ref="B43:J43">B11/B27-1</f>
        <v>0.10297595070291421</v>
      </c>
      <c r="C43" s="9">
        <f t="shared" si="7"/>
        <v>0.10141629249826245</v>
      </c>
      <c r="D43" s="9">
        <f t="shared" si="7"/>
        <v>0.06892856033890982</v>
      </c>
      <c r="E43" s="9">
        <f t="shared" si="7"/>
        <v>0.06790860946091049</v>
      </c>
      <c r="F43" s="9">
        <f t="shared" si="7"/>
        <v>0.06518581760754483</v>
      </c>
      <c r="G43" s="9">
        <f t="shared" si="7"/>
        <v>0.05881922923588889</v>
      </c>
      <c r="H43" s="9">
        <f t="shared" si="5"/>
        <v>0.05881922923588889</v>
      </c>
      <c r="I43" s="9"/>
      <c r="J43" s="9">
        <f t="shared" si="7"/>
        <v>0.10068106522018239</v>
      </c>
      <c r="K43" s="9">
        <v>0.04456470343273613</v>
      </c>
    </row>
    <row r="44" spans="1:11" ht="15">
      <c r="A44" t="s">
        <v>7</v>
      </c>
      <c r="B44" s="9">
        <f aca="true" t="shared" si="8" ref="B44:J44">B12/B28-1</f>
        <v>0.09128744479845308</v>
      </c>
      <c r="C44" s="9">
        <f t="shared" si="8"/>
        <v>0.0926046237108189</v>
      </c>
      <c r="D44" s="9">
        <f t="shared" si="8"/>
        <v>0.061054152984260535</v>
      </c>
      <c r="E44" s="9">
        <f t="shared" si="8"/>
        <v>0.06225479049887217</v>
      </c>
      <c r="F44" s="9">
        <f t="shared" si="8"/>
        <v>0.05934245540407468</v>
      </c>
      <c r="G44" s="9">
        <f t="shared" si="8"/>
        <v>0.05533388898690039</v>
      </c>
      <c r="H44" s="9">
        <f t="shared" si="5"/>
        <v>0.05533388898690039</v>
      </c>
      <c r="I44" s="9"/>
      <c r="J44" s="9">
        <f t="shared" si="8"/>
        <v>0.0955820631997919</v>
      </c>
      <c r="K44" s="9">
        <v>0.04294384035517525</v>
      </c>
    </row>
    <row r="45" spans="1:11" ht="15">
      <c r="A45" t="s">
        <v>8</v>
      </c>
      <c r="B45" s="9">
        <f aca="true" t="shared" si="9" ref="B45:J45">B13/B29-1</f>
        <v>0.09124839228725401</v>
      </c>
      <c r="C45" s="9">
        <f t="shared" si="9"/>
        <v>0.09339500576326865</v>
      </c>
      <c r="D45" s="9">
        <f t="shared" si="9"/>
        <v>0.06494241058261285</v>
      </c>
      <c r="E45" s="9">
        <f t="shared" si="9"/>
        <v>0.06598367735127031</v>
      </c>
      <c r="F45" s="9">
        <f t="shared" si="9"/>
        <v>0.06284081407907749</v>
      </c>
      <c r="G45" s="9">
        <f t="shared" si="9"/>
        <v>0.06154436965699528</v>
      </c>
      <c r="H45" s="9">
        <f t="shared" si="5"/>
        <v>0.06154436965699528</v>
      </c>
      <c r="I45" s="9"/>
      <c r="J45" s="9">
        <f t="shared" si="9"/>
        <v>0.1072606786620931</v>
      </c>
      <c r="K45" s="9">
        <v>0.04883793908514003</v>
      </c>
    </row>
    <row r="46" spans="1:11" ht="15">
      <c r="A46" t="s">
        <v>9</v>
      </c>
      <c r="B46" s="9">
        <f aca="true" t="shared" si="10" ref="B46:J46">B14/B30-1</f>
        <v>0.07322405688052958</v>
      </c>
      <c r="C46" s="9">
        <f t="shared" si="10"/>
        <v>0.07318715490327787</v>
      </c>
      <c r="D46" s="9">
        <f t="shared" si="10"/>
        <v>0.05698263739744225</v>
      </c>
      <c r="E46" s="9">
        <f t="shared" si="10"/>
        <v>0.0531155615099097</v>
      </c>
      <c r="F46" s="9">
        <f t="shared" si="10"/>
        <v>0.05120547409042997</v>
      </c>
      <c r="G46" s="9">
        <f t="shared" si="10"/>
        <v>0.050224261237407974</v>
      </c>
      <c r="H46" s="9">
        <f t="shared" si="5"/>
        <v>0.050224261237407974</v>
      </c>
      <c r="I46" s="9"/>
      <c r="J46" s="9">
        <f t="shared" si="10"/>
        <v>0.10365588998927011</v>
      </c>
      <c r="K46" s="9">
        <v>0.0408286151821157</v>
      </c>
    </row>
    <row r="47" spans="1:11" ht="15">
      <c r="A47" t="s">
        <v>10</v>
      </c>
      <c r="B47" s="9">
        <f aca="true" t="shared" si="11" ref="B47:J47">B15/B31-1</f>
        <v>0.07328513621575561</v>
      </c>
      <c r="C47" s="9">
        <f t="shared" si="11"/>
        <v>0.07693531610081794</v>
      </c>
      <c r="D47" s="9">
        <f t="shared" si="11"/>
        <v>0.05902834759655562</v>
      </c>
      <c r="E47" s="9">
        <f t="shared" si="11"/>
        <v>0.05873946482676762</v>
      </c>
      <c r="F47" s="9">
        <f t="shared" si="11"/>
        <v>0.05048675623519916</v>
      </c>
      <c r="G47" s="9">
        <f t="shared" si="11"/>
        <v>0.04923242668892169</v>
      </c>
      <c r="H47" s="9">
        <f t="shared" si="5"/>
        <v>0.04923242668892169</v>
      </c>
      <c r="I47" s="9"/>
      <c r="J47" s="9">
        <f t="shared" si="11"/>
        <v>0.10477590838102224</v>
      </c>
      <c r="K47" s="9">
        <v>0.0404807776130228</v>
      </c>
    </row>
    <row r="48" spans="1:11" ht="15">
      <c r="A48" t="s">
        <v>11</v>
      </c>
      <c r="B48" s="9">
        <f aca="true" t="shared" si="12" ref="B48:J48">B16/B32-1</f>
        <v>0.08338176088213123</v>
      </c>
      <c r="C48" s="9">
        <f t="shared" si="12"/>
        <v>0.08979557262180227</v>
      </c>
      <c r="D48" s="9">
        <f t="shared" si="12"/>
        <v>0.0651812443673927</v>
      </c>
      <c r="E48" s="9">
        <f t="shared" si="12"/>
        <v>0.06875730033106575</v>
      </c>
      <c r="F48" s="9">
        <f t="shared" si="12"/>
        <v>0.058205204886897954</v>
      </c>
      <c r="G48" s="9">
        <f t="shared" si="12"/>
        <v>0.05746700827224149</v>
      </c>
      <c r="H48" s="9">
        <f t="shared" si="5"/>
        <v>0.05746700827224149</v>
      </c>
      <c r="I48" s="9"/>
      <c r="J48" s="9">
        <f t="shared" si="12"/>
        <v>0.10732685811430054</v>
      </c>
      <c r="K48" s="9">
        <v>0.04839788597119139</v>
      </c>
    </row>
    <row r="49" spans="1:11" ht="15">
      <c r="A49" t="s">
        <v>12</v>
      </c>
      <c r="B49" s="9">
        <f aca="true" t="shared" si="13" ref="B49:J49">B17/B33-1</f>
        <v>0.0699664085713636</v>
      </c>
      <c r="C49" s="9">
        <f t="shared" si="13"/>
        <v>0.07487082043896276</v>
      </c>
      <c r="D49" s="9">
        <f t="shared" si="13"/>
        <v>0.05367553545104209</v>
      </c>
      <c r="E49" s="9">
        <f t="shared" si="13"/>
        <v>0.049551017602394776</v>
      </c>
      <c r="F49" s="9">
        <f t="shared" si="13"/>
        <v>0.048345157616229706</v>
      </c>
      <c r="G49" s="9">
        <f t="shared" si="13"/>
        <v>0.047529485106783786</v>
      </c>
      <c r="H49" s="9">
        <f t="shared" si="5"/>
        <v>0.047529485106783786</v>
      </c>
      <c r="I49" s="9"/>
      <c r="J49" s="9">
        <f t="shared" si="13"/>
        <v>0.08910622437730731</v>
      </c>
      <c r="K49" s="9">
        <v>0.03978147570348432</v>
      </c>
    </row>
    <row r="50" spans="1:11" ht="15">
      <c r="A50" t="s">
        <v>13</v>
      </c>
      <c r="B50" s="9">
        <f aca="true" t="shared" si="14" ref="B50:J50">B18/B34-1</f>
        <v>0.08465798349220721</v>
      </c>
      <c r="C50" s="9">
        <f t="shared" si="14"/>
        <v>0.07679609787489294</v>
      </c>
      <c r="D50" s="9">
        <f t="shared" si="14"/>
        <v>0.061145808466524176</v>
      </c>
      <c r="E50" s="9">
        <f t="shared" si="14"/>
        <v>0.06172079052289736</v>
      </c>
      <c r="F50" s="9">
        <f t="shared" si="14"/>
        <v>0.057651500216241214</v>
      </c>
      <c r="G50" s="9">
        <f t="shared" si="14"/>
        <v>0.05533395565927224</v>
      </c>
      <c r="H50" s="9">
        <f t="shared" si="5"/>
        <v>0.05533395565927224</v>
      </c>
      <c r="I50" s="9"/>
      <c r="J50" s="9">
        <f t="shared" si="14"/>
        <v>0.08572289571175706</v>
      </c>
      <c r="K50" s="9">
        <v>0.044815018221206836</v>
      </c>
    </row>
    <row r="51" spans="1:11" ht="15">
      <c r="A51" t="s">
        <v>14</v>
      </c>
      <c r="B51" s="9">
        <f aca="true" t="shared" si="15" ref="B51:J51">B19/B35-1</f>
        <v>0.09100831494331119</v>
      </c>
      <c r="C51" s="9">
        <f t="shared" si="15"/>
        <v>0.08551733109708692</v>
      </c>
      <c r="D51" s="9">
        <f t="shared" si="15"/>
        <v>0.058170316749423856</v>
      </c>
      <c r="E51" s="9">
        <f t="shared" si="15"/>
        <v>0.05996800541474734</v>
      </c>
      <c r="F51" s="9">
        <f t="shared" si="15"/>
        <v>0.05766355956932778</v>
      </c>
      <c r="G51" s="9">
        <f t="shared" si="15"/>
        <v>0.05109004075708401</v>
      </c>
      <c r="H51" s="9">
        <f t="shared" si="5"/>
        <v>0.05109004075708401</v>
      </c>
      <c r="I51" s="9"/>
      <c r="J51" s="9">
        <f t="shared" si="15"/>
        <v>0.09385977355812569</v>
      </c>
      <c r="K51" s="9">
        <v>0.03939259030083901</v>
      </c>
    </row>
    <row r="52" spans="1:11" ht="15">
      <c r="A52" t="s">
        <v>15</v>
      </c>
      <c r="B52" s="9">
        <f aca="true" t="shared" si="16" ref="B52:J52">B20/B36-1</f>
        <v>0.11817692027553472</v>
      </c>
      <c r="C52" s="9">
        <f t="shared" si="16"/>
        <v>0.10058579407539137</v>
      </c>
      <c r="D52" s="9">
        <f t="shared" si="16"/>
        <v>0.07587500576072581</v>
      </c>
      <c r="E52" s="9">
        <f t="shared" si="16"/>
        <v>0.0746028471543716</v>
      </c>
      <c r="F52" s="9">
        <f t="shared" si="16"/>
        <v>0.07127025112390029</v>
      </c>
      <c r="G52" s="9">
        <f t="shared" si="16"/>
        <v>0.06471199769311964</v>
      </c>
      <c r="H52" s="9">
        <f t="shared" si="5"/>
        <v>0.06471199769311964</v>
      </c>
      <c r="I52" s="9"/>
      <c r="J52" s="9">
        <f t="shared" si="16"/>
        <v>0.11507298885849493</v>
      </c>
      <c r="K52" s="9">
        <v>0.050525901586846736</v>
      </c>
    </row>
    <row r="53" spans="1:11" ht="15">
      <c r="A53" t="s">
        <v>24</v>
      </c>
      <c r="B53" s="9">
        <f aca="true" t="shared" si="17" ref="B53:K53">B21/B37-1</f>
        <v>0.0947113782376019</v>
      </c>
      <c r="C53" s="9">
        <f t="shared" si="17"/>
        <v>0.09011968026650607</v>
      </c>
      <c r="D53" s="9">
        <f t="shared" si="17"/>
        <v>0.06305284091732744</v>
      </c>
      <c r="E53" s="9">
        <f t="shared" si="17"/>
        <v>0.06269223256232315</v>
      </c>
      <c r="F53" s="9">
        <f t="shared" si="17"/>
        <v>0.05827721766405358</v>
      </c>
      <c r="G53" s="9">
        <f t="shared" si="17"/>
        <v>0.05470444029024857</v>
      </c>
      <c r="H53" s="9">
        <f t="shared" si="5"/>
        <v>0.05470444029024857</v>
      </c>
      <c r="I53" s="9"/>
      <c r="J53" s="9">
        <f t="shared" si="17"/>
        <v>0.10186718915653281</v>
      </c>
      <c r="K53" s="9">
        <f t="shared" si="17"/>
        <v>0</v>
      </c>
    </row>
    <row r="55" ht="15.75">
      <c r="A55" s="6" t="s">
        <v>101</v>
      </c>
    </row>
    <row r="57" spans="1:11" ht="15">
      <c r="A57" t="s">
        <v>4</v>
      </c>
      <c r="B57" s="62">
        <f aca="true" t="shared" si="18" ref="B57:H69">B41-$B$3</f>
        <v>0.07457080314173897</v>
      </c>
      <c r="C57" s="62">
        <f t="shared" si="18"/>
        <v>0.06612549370351767</v>
      </c>
      <c r="D57" s="62">
        <f t="shared" si="18"/>
        <v>0.031269792434484966</v>
      </c>
      <c r="E57" s="62">
        <f t="shared" si="18"/>
        <v>0.03449853524568952</v>
      </c>
      <c r="F57" s="62">
        <f t="shared" si="18"/>
        <v>0.02429249827843677</v>
      </c>
      <c r="G57" s="62">
        <f t="shared" si="18"/>
        <v>0.01904403785765113</v>
      </c>
      <c r="H57" s="62">
        <f t="shared" si="18"/>
        <v>0.01904403785765113</v>
      </c>
      <c r="I57" s="62"/>
      <c r="J57" s="62">
        <f aca="true" t="shared" si="19" ref="J57:K69">J41-$B$3</f>
        <v>0.0775550332853952</v>
      </c>
      <c r="K57" s="62">
        <f t="shared" si="19"/>
        <v>0.007064679746245542</v>
      </c>
    </row>
    <row r="58" spans="1:11" ht="15">
      <c r="A58" t="s">
        <v>5</v>
      </c>
      <c r="B58" s="62">
        <f t="shared" si="18"/>
        <v>0.07749302116960749</v>
      </c>
      <c r="C58" s="62">
        <f t="shared" si="18"/>
        <v>0.06954322173059274</v>
      </c>
      <c r="D58" s="62">
        <f t="shared" si="18"/>
        <v>0.0328040439853608</v>
      </c>
      <c r="E58" s="62">
        <f t="shared" si="18"/>
        <v>0.03145451553146589</v>
      </c>
      <c r="F58" s="62">
        <f t="shared" si="18"/>
        <v>0.027338583427115426</v>
      </c>
      <c r="G58" s="62">
        <f t="shared" si="18"/>
        <v>0.022546955376987976</v>
      </c>
      <c r="H58" s="62">
        <f t="shared" si="18"/>
        <v>0.022546955376987976</v>
      </c>
      <c r="I58" s="62"/>
      <c r="J58" s="62">
        <f t="shared" si="19"/>
        <v>0.07470067475706382</v>
      </c>
      <c r="K58" s="62">
        <f t="shared" si="19"/>
        <v>0.009230910982847132</v>
      </c>
    </row>
    <row r="59" spans="1:11" ht="15">
      <c r="A59" t="s">
        <v>6</v>
      </c>
      <c r="B59" s="62">
        <f t="shared" si="18"/>
        <v>0.07101630182345203</v>
      </c>
      <c r="C59" s="62">
        <f t="shared" si="18"/>
        <v>0.06945664361880027</v>
      </c>
      <c r="D59" s="62">
        <f t="shared" si="18"/>
        <v>0.03696891145944764</v>
      </c>
      <c r="E59" s="62">
        <f t="shared" si="18"/>
        <v>0.03594896058144831</v>
      </c>
      <c r="F59" s="62">
        <f t="shared" si="18"/>
        <v>0.03322616872808265</v>
      </c>
      <c r="G59" s="62">
        <f t="shared" si="18"/>
        <v>0.026859580356426715</v>
      </c>
      <c r="H59" s="62">
        <f t="shared" si="18"/>
        <v>0.026859580356426715</v>
      </c>
      <c r="I59" s="62"/>
      <c r="J59" s="62">
        <f t="shared" si="19"/>
        <v>0.06872141634072021</v>
      </c>
      <c r="K59" s="62">
        <f t="shared" si="19"/>
        <v>0.012605054553273952</v>
      </c>
    </row>
    <row r="60" spans="1:11" ht="15">
      <c r="A60" t="s">
        <v>7</v>
      </c>
      <c r="B60" s="62">
        <f t="shared" si="18"/>
        <v>0.0593277959189909</v>
      </c>
      <c r="C60" s="62">
        <f t="shared" si="18"/>
        <v>0.060644974831356724</v>
      </c>
      <c r="D60" s="62">
        <f t="shared" si="18"/>
        <v>0.029094504104798358</v>
      </c>
      <c r="E60" s="62">
        <f t="shared" si="18"/>
        <v>0.030295141619409993</v>
      </c>
      <c r="F60" s="62">
        <f t="shared" si="18"/>
        <v>0.027382806524612502</v>
      </c>
      <c r="G60" s="62">
        <f t="shared" si="18"/>
        <v>0.023374240107438216</v>
      </c>
      <c r="H60" s="62">
        <f t="shared" si="18"/>
        <v>0.023374240107438216</v>
      </c>
      <c r="I60" s="62"/>
      <c r="J60" s="62">
        <f t="shared" si="19"/>
        <v>0.06362241432032972</v>
      </c>
      <c r="K60" s="62">
        <f t="shared" si="19"/>
        <v>0.01098419147571307</v>
      </c>
    </row>
    <row r="61" spans="1:11" ht="15">
      <c r="A61" t="s">
        <v>8</v>
      </c>
      <c r="B61" s="62">
        <f t="shared" si="18"/>
        <v>0.05928874340779183</v>
      </c>
      <c r="C61" s="62">
        <f t="shared" si="18"/>
        <v>0.06143535688380647</v>
      </c>
      <c r="D61" s="62">
        <f t="shared" si="18"/>
        <v>0.032982761703150676</v>
      </c>
      <c r="E61" s="62">
        <f t="shared" si="18"/>
        <v>0.03402402847180813</v>
      </c>
      <c r="F61" s="62">
        <f t="shared" si="18"/>
        <v>0.030881165199615312</v>
      </c>
      <c r="G61" s="62">
        <f t="shared" si="18"/>
        <v>0.029584720777533102</v>
      </c>
      <c r="H61" s="62">
        <f t="shared" si="18"/>
        <v>0.029584720777533102</v>
      </c>
      <c r="I61" s="62"/>
      <c r="J61" s="62">
        <f t="shared" si="19"/>
        <v>0.07530102978263092</v>
      </c>
      <c r="K61" s="62">
        <f t="shared" si="19"/>
        <v>0.016878290205677854</v>
      </c>
    </row>
    <row r="62" spans="1:11" ht="15">
      <c r="A62" t="s">
        <v>9</v>
      </c>
      <c r="B62" s="62">
        <f t="shared" si="18"/>
        <v>0.0412644080010674</v>
      </c>
      <c r="C62" s="62">
        <f t="shared" si="18"/>
        <v>0.041227506023815697</v>
      </c>
      <c r="D62" s="62">
        <f t="shared" si="18"/>
        <v>0.02502298851798007</v>
      </c>
      <c r="E62" s="62">
        <f t="shared" si="18"/>
        <v>0.021155912630447526</v>
      </c>
      <c r="F62" s="62">
        <f t="shared" si="18"/>
        <v>0.019245825210967793</v>
      </c>
      <c r="G62" s="62">
        <f t="shared" si="18"/>
        <v>0.018264612357945798</v>
      </c>
      <c r="H62" s="62">
        <f t="shared" si="18"/>
        <v>0.018264612357945798</v>
      </c>
      <c r="I62" s="62"/>
      <c r="J62" s="62">
        <f t="shared" si="19"/>
        <v>0.07169624110980793</v>
      </c>
      <c r="K62" s="62">
        <f t="shared" si="19"/>
        <v>0.008868966302653526</v>
      </c>
    </row>
    <row r="63" spans="1:11" ht="15">
      <c r="A63" t="s">
        <v>10</v>
      </c>
      <c r="B63" s="62">
        <f t="shared" si="18"/>
        <v>0.04132548733629343</v>
      </c>
      <c r="C63" s="62">
        <f t="shared" si="18"/>
        <v>0.044975667221355764</v>
      </c>
      <c r="D63" s="62">
        <f t="shared" si="18"/>
        <v>0.027068698717093442</v>
      </c>
      <c r="E63" s="62">
        <f t="shared" si="18"/>
        <v>0.02677981594730544</v>
      </c>
      <c r="F63" s="62">
        <f t="shared" si="18"/>
        <v>0.018527107355736983</v>
      </c>
      <c r="G63" s="62">
        <f t="shared" si="18"/>
        <v>0.017272777809459516</v>
      </c>
      <c r="H63" s="62">
        <f t="shared" si="18"/>
        <v>0.017272777809459516</v>
      </c>
      <c r="I63" s="62"/>
      <c r="J63" s="62">
        <f t="shared" si="19"/>
        <v>0.07281625950156007</v>
      </c>
      <c r="K63" s="62">
        <f t="shared" si="19"/>
        <v>0.008521128733560625</v>
      </c>
    </row>
    <row r="64" spans="1:11" ht="15">
      <c r="A64" t="s">
        <v>11</v>
      </c>
      <c r="B64" s="62">
        <f t="shared" si="18"/>
        <v>0.05142211200266905</v>
      </c>
      <c r="C64" s="62">
        <f t="shared" si="18"/>
        <v>0.05783592374234009</v>
      </c>
      <c r="D64" s="62">
        <f t="shared" si="18"/>
        <v>0.03322159548793052</v>
      </c>
      <c r="E64" s="62">
        <f t="shared" si="18"/>
        <v>0.036797651451603575</v>
      </c>
      <c r="F64" s="62">
        <f t="shared" si="18"/>
        <v>0.026245556007435777</v>
      </c>
      <c r="G64" s="62">
        <f t="shared" si="18"/>
        <v>0.025507359392779316</v>
      </c>
      <c r="H64" s="62">
        <f t="shared" si="18"/>
        <v>0.025507359392779316</v>
      </c>
      <c r="I64" s="62"/>
      <c r="J64" s="62">
        <f t="shared" si="19"/>
        <v>0.07536720923483836</v>
      </c>
      <c r="K64" s="62">
        <f t="shared" si="19"/>
        <v>0.016438237091729216</v>
      </c>
    </row>
    <row r="65" spans="1:11" ht="15">
      <c r="A65" t="s">
        <v>12</v>
      </c>
      <c r="B65" s="62">
        <f t="shared" si="18"/>
        <v>0.038006759691901426</v>
      </c>
      <c r="C65" s="62">
        <f t="shared" si="18"/>
        <v>0.04291117155950058</v>
      </c>
      <c r="D65" s="62">
        <f t="shared" si="18"/>
        <v>0.021715886571579912</v>
      </c>
      <c r="E65" s="62">
        <f t="shared" si="18"/>
        <v>0.0175913687229326</v>
      </c>
      <c r="F65" s="62">
        <f t="shared" si="18"/>
        <v>0.01638550873676753</v>
      </c>
      <c r="G65" s="62">
        <f t="shared" si="18"/>
        <v>0.01556983622732161</v>
      </c>
      <c r="H65" s="62">
        <f t="shared" si="18"/>
        <v>0.01556983622732161</v>
      </c>
      <c r="I65" s="62"/>
      <c r="J65" s="62">
        <f t="shared" si="19"/>
        <v>0.05714657549784513</v>
      </c>
      <c r="K65" s="62">
        <f t="shared" si="19"/>
        <v>0.007821826824022146</v>
      </c>
    </row>
    <row r="66" spans="1:11" ht="15">
      <c r="A66" t="s">
        <v>13</v>
      </c>
      <c r="B66" s="62">
        <f t="shared" si="18"/>
        <v>0.052698334612745035</v>
      </c>
      <c r="C66" s="62">
        <f t="shared" si="18"/>
        <v>0.04483644899543077</v>
      </c>
      <c r="D66" s="62">
        <f t="shared" si="18"/>
        <v>0.029186159587062</v>
      </c>
      <c r="E66" s="62">
        <f t="shared" si="18"/>
        <v>0.029761141643435185</v>
      </c>
      <c r="F66" s="62">
        <f t="shared" si="18"/>
        <v>0.025691851336779037</v>
      </c>
      <c r="G66" s="62">
        <f t="shared" si="18"/>
        <v>0.02337430677981006</v>
      </c>
      <c r="H66" s="62">
        <f t="shared" si="18"/>
        <v>0.02337430677981006</v>
      </c>
      <c r="I66" s="62"/>
      <c r="J66" s="62">
        <f t="shared" si="19"/>
        <v>0.053763246832294886</v>
      </c>
      <c r="K66" s="62">
        <f t="shared" si="19"/>
        <v>0.012855369341744659</v>
      </c>
    </row>
    <row r="67" spans="1:11" ht="15">
      <c r="A67" t="s">
        <v>14</v>
      </c>
      <c r="B67" s="62">
        <f t="shared" si="18"/>
        <v>0.05904866606384901</v>
      </c>
      <c r="C67" s="62">
        <f t="shared" si="18"/>
        <v>0.05355768221762475</v>
      </c>
      <c r="D67" s="62">
        <f t="shared" si="18"/>
        <v>0.02621066786996168</v>
      </c>
      <c r="E67" s="62">
        <f t="shared" si="18"/>
        <v>0.02800835653528516</v>
      </c>
      <c r="F67" s="62">
        <f t="shared" si="18"/>
        <v>0.025703910689865606</v>
      </c>
      <c r="G67" s="62">
        <f t="shared" si="18"/>
        <v>0.019130391877621833</v>
      </c>
      <c r="H67" s="62">
        <f t="shared" si="18"/>
        <v>0.019130391877621833</v>
      </c>
      <c r="I67" s="62"/>
      <c r="J67" s="62">
        <f t="shared" si="19"/>
        <v>0.061900124678663515</v>
      </c>
      <c r="K67" s="62">
        <f t="shared" si="19"/>
        <v>0.007432941421376835</v>
      </c>
    </row>
    <row r="68" spans="1:11" ht="15">
      <c r="A68" t="s">
        <v>15</v>
      </c>
      <c r="B68" s="62">
        <f t="shared" si="18"/>
        <v>0.08621727139607255</v>
      </c>
      <c r="C68" s="62">
        <f t="shared" si="18"/>
        <v>0.06862614519592919</v>
      </c>
      <c r="D68" s="62">
        <f t="shared" si="18"/>
        <v>0.043915356881263634</v>
      </c>
      <c r="E68" s="62">
        <f t="shared" si="18"/>
        <v>0.04264319827490942</v>
      </c>
      <c r="F68" s="62">
        <f t="shared" si="18"/>
        <v>0.03931060224443811</v>
      </c>
      <c r="G68" s="62">
        <f t="shared" si="18"/>
        <v>0.03275234881365746</v>
      </c>
      <c r="H68" s="62">
        <f t="shared" si="18"/>
        <v>0.03275234881365746</v>
      </c>
      <c r="I68" s="62"/>
      <c r="J68" s="62">
        <f t="shared" si="19"/>
        <v>0.08311333997903275</v>
      </c>
      <c r="K68" s="62">
        <f t="shared" si="19"/>
        <v>0.01856625270738456</v>
      </c>
    </row>
    <row r="69" spans="1:11" ht="15">
      <c r="A69" t="s">
        <v>24</v>
      </c>
      <c r="B69" s="62">
        <f t="shared" si="18"/>
        <v>0.06275172935813972</v>
      </c>
      <c r="C69" s="62">
        <f t="shared" si="18"/>
        <v>0.0581600313870439</v>
      </c>
      <c r="D69" s="62">
        <f t="shared" si="18"/>
        <v>0.031093192037865258</v>
      </c>
      <c r="E69" s="62">
        <f t="shared" si="18"/>
        <v>0.03073258368286097</v>
      </c>
      <c r="F69" s="62">
        <f t="shared" si="18"/>
        <v>0.026317568784591405</v>
      </c>
      <c r="G69" s="62">
        <f t="shared" si="18"/>
        <v>0.02274479141078639</v>
      </c>
      <c r="H69" s="62">
        <f t="shared" si="18"/>
        <v>0.02274479141078639</v>
      </c>
      <c r="I69" s="62"/>
      <c r="J69" s="62">
        <f t="shared" si="19"/>
        <v>0.06990754027707063</v>
      </c>
      <c r="K69" s="62">
        <f t="shared" si="19"/>
        <v>-0.03195964887946218</v>
      </c>
    </row>
    <row r="72" ht="15.75">
      <c r="A72" s="6" t="s">
        <v>223</v>
      </c>
    </row>
    <row r="74" spans="1:12" ht="15">
      <c r="A74" t="s">
        <v>4</v>
      </c>
      <c r="B74" s="2">
        <v>1104056.6251540417</v>
      </c>
      <c r="C74" s="2">
        <v>43147.27951584772</v>
      </c>
      <c r="D74" s="2">
        <v>486923.2538092849</v>
      </c>
      <c r="E74" s="2">
        <v>53306.70502199486</v>
      </c>
      <c r="F74" s="2">
        <v>41412.927695784834</v>
      </c>
      <c r="G74" s="2">
        <v>75544.41266006493</v>
      </c>
      <c r="H74" s="2">
        <v>99525.06894870955</v>
      </c>
      <c r="I74" s="2">
        <f>0.66*K74</f>
        <v>65686.54550614831</v>
      </c>
      <c r="J74" s="2">
        <v>19648.170590174</v>
      </c>
      <c r="K74" s="2">
        <v>99525.06894870955</v>
      </c>
      <c r="L74" s="4"/>
    </row>
    <row r="75" spans="1:12" ht="15">
      <c r="A75" t="s">
        <v>5</v>
      </c>
      <c r="B75" s="2">
        <v>1173908.0578760593</v>
      </c>
      <c r="C75" s="2">
        <v>40666.60207765453</v>
      </c>
      <c r="D75" s="2">
        <v>431735.62563192943</v>
      </c>
      <c r="E75" s="2">
        <v>52869.91765234881</v>
      </c>
      <c r="F75" s="2">
        <v>39010.5343387487</v>
      </c>
      <c r="G75" s="2">
        <v>73289.99460014132</v>
      </c>
      <c r="H75" s="2">
        <v>103535.346138095</v>
      </c>
      <c r="I75" s="2">
        <f aca="true" t="shared" si="20" ref="I75:I85">0.66*K75</f>
        <v>68333.3284511427</v>
      </c>
      <c r="J75" s="2">
        <v>24523.59973630334</v>
      </c>
      <c r="K75" s="2">
        <v>103535.346138095</v>
      </c>
      <c r="L75" s="4"/>
    </row>
    <row r="76" spans="1:12" ht="15">
      <c r="A76" t="s">
        <v>6</v>
      </c>
      <c r="B76" s="2">
        <v>916421.2852405461</v>
      </c>
      <c r="C76" s="2">
        <v>43847.960049623056</v>
      </c>
      <c r="D76" s="2">
        <v>451054.2502507031</v>
      </c>
      <c r="E76" s="2">
        <v>54668.060999258094</v>
      </c>
      <c r="F76" s="2">
        <v>39329.71273990678</v>
      </c>
      <c r="G76" s="2">
        <v>66320.63242126447</v>
      </c>
      <c r="H76" s="2">
        <v>94790.4521250912</v>
      </c>
      <c r="I76" s="2">
        <f t="shared" si="20"/>
        <v>62561.69840256019</v>
      </c>
      <c r="J76" s="2">
        <v>2689.1340034804075</v>
      </c>
      <c r="K76" s="2">
        <v>94790.4521250912</v>
      </c>
      <c r="L76" s="4"/>
    </row>
    <row r="77" spans="1:12" ht="15">
      <c r="A77" t="s">
        <v>7</v>
      </c>
      <c r="B77" s="2">
        <v>828353.1022693851</v>
      </c>
      <c r="C77" s="2">
        <v>24511.20380820661</v>
      </c>
      <c r="D77" s="2">
        <v>358217.4129840571</v>
      </c>
      <c r="E77" s="2">
        <v>47825.69025691441</v>
      </c>
      <c r="F77" s="2">
        <v>33706.632089873674</v>
      </c>
      <c r="G77" s="2">
        <v>65545.53234836241</v>
      </c>
      <c r="H77" s="2">
        <v>97815.50459424389</v>
      </c>
      <c r="I77" s="2">
        <f t="shared" si="20"/>
        <v>64558.233032200966</v>
      </c>
      <c r="J77" s="2">
        <v>2903.8883975614904</v>
      </c>
      <c r="K77" s="2">
        <v>97815.50459424389</v>
      </c>
      <c r="L77" s="4"/>
    </row>
    <row r="78" spans="1:12" ht="15">
      <c r="A78" t="s">
        <v>8</v>
      </c>
      <c r="B78" s="2">
        <v>651803.4707580212</v>
      </c>
      <c r="C78" s="2">
        <v>35217.875643817526</v>
      </c>
      <c r="D78" s="2">
        <v>367902.7167889243</v>
      </c>
      <c r="E78" s="2">
        <v>56739.905466556775</v>
      </c>
      <c r="F78" s="2">
        <v>43145.83605067302</v>
      </c>
      <c r="G78" s="2">
        <v>71136.8378736818</v>
      </c>
      <c r="H78" s="2">
        <v>101700.19052388871</v>
      </c>
      <c r="I78" s="2">
        <f t="shared" si="20"/>
        <v>67122.12574576655</v>
      </c>
      <c r="J78" s="2">
        <v>3168.312276882848</v>
      </c>
      <c r="K78" s="2">
        <v>101700.19052388871</v>
      </c>
      <c r="L78" s="4"/>
    </row>
    <row r="79" spans="1:12" ht="15">
      <c r="A79" t="s">
        <v>9</v>
      </c>
      <c r="B79" s="2">
        <v>679291.6793569562</v>
      </c>
      <c r="C79" s="2">
        <v>27446.37024012701</v>
      </c>
      <c r="D79" s="2">
        <v>320523.38091781206</v>
      </c>
      <c r="E79" s="2">
        <v>47104.21595879784</v>
      </c>
      <c r="F79" s="2">
        <v>33846.70561473073</v>
      </c>
      <c r="G79" s="2">
        <v>68574.8787232868</v>
      </c>
      <c r="H79" s="2">
        <v>104903.72218264792</v>
      </c>
      <c r="I79" s="2">
        <f t="shared" si="20"/>
        <v>69236.45664054764</v>
      </c>
      <c r="J79" s="2">
        <v>2664.1398392100823</v>
      </c>
      <c r="K79" s="2">
        <v>104903.72218264792</v>
      </c>
      <c r="L79" s="4"/>
    </row>
    <row r="80" spans="1:12" ht="15">
      <c r="A80" t="s">
        <v>10</v>
      </c>
      <c r="B80" s="2">
        <v>472812.28637835936</v>
      </c>
      <c r="C80" s="2">
        <v>39874.168376118214</v>
      </c>
      <c r="D80" s="2">
        <v>423317.7375243475</v>
      </c>
      <c r="E80" s="2">
        <v>66269.74103838915</v>
      </c>
      <c r="F80" s="2">
        <v>43029.46587979817</v>
      </c>
      <c r="G80" s="2">
        <v>77214.65014872825</v>
      </c>
      <c r="H80" s="2">
        <v>117199.94258828141</v>
      </c>
      <c r="I80" s="2">
        <f t="shared" si="20"/>
        <v>77351.96210826574</v>
      </c>
      <c r="J80" s="2">
        <v>3140.6461578483295</v>
      </c>
      <c r="K80" s="2">
        <v>117199.94258828141</v>
      </c>
      <c r="L80" s="4"/>
    </row>
    <row r="81" spans="1:12" ht="15">
      <c r="A81" t="s">
        <v>11</v>
      </c>
      <c r="B81" s="2">
        <v>526585.0054354673</v>
      </c>
      <c r="C81" s="2">
        <v>37825.778496350475</v>
      </c>
      <c r="D81" s="2">
        <v>436203.2629141697</v>
      </c>
      <c r="E81" s="2">
        <v>69730.77230753671</v>
      </c>
      <c r="F81" s="2">
        <v>41855.29093580219</v>
      </c>
      <c r="G81" s="2">
        <v>73582.75490300341</v>
      </c>
      <c r="H81" s="2">
        <v>119528.30413464183</v>
      </c>
      <c r="I81" s="2">
        <f t="shared" si="20"/>
        <v>78888.68072886362</v>
      </c>
      <c r="J81" s="2">
        <v>3001.826990624795</v>
      </c>
      <c r="K81" s="2">
        <v>119528.30413464183</v>
      </c>
      <c r="L81" s="4"/>
    </row>
    <row r="82" spans="1:12" ht="15">
      <c r="A82" t="s">
        <v>12</v>
      </c>
      <c r="B82" s="2">
        <v>532092.3888066256</v>
      </c>
      <c r="C82" s="2">
        <v>35370.3241436421</v>
      </c>
      <c r="D82" s="2">
        <v>442410.5964907753</v>
      </c>
      <c r="E82" s="2">
        <v>69676.55221572919</v>
      </c>
      <c r="F82" s="2">
        <v>39462.21862447586</v>
      </c>
      <c r="G82" s="2">
        <v>73306.17062948295</v>
      </c>
      <c r="H82" s="2">
        <v>119015.71458146596</v>
      </c>
      <c r="I82" s="2">
        <f t="shared" si="20"/>
        <v>78550.37162376754</v>
      </c>
      <c r="J82" s="2">
        <v>2855.02395699724</v>
      </c>
      <c r="K82" s="2">
        <v>119015.71458146596</v>
      </c>
      <c r="L82" s="4"/>
    </row>
    <row r="83" spans="1:12" ht="15">
      <c r="A83" t="s">
        <v>13</v>
      </c>
      <c r="B83" s="2">
        <v>657260.288988289</v>
      </c>
      <c r="C83" s="2">
        <v>31103.751025115642</v>
      </c>
      <c r="D83" s="2">
        <v>381062.54810940864</v>
      </c>
      <c r="E83" s="2">
        <v>56167.22467434908</v>
      </c>
      <c r="F83" s="2">
        <v>42855.35401421462</v>
      </c>
      <c r="G83" s="2">
        <v>74542.9259185381</v>
      </c>
      <c r="H83" s="2">
        <v>107710.81868694045</v>
      </c>
      <c r="I83" s="2">
        <f t="shared" si="20"/>
        <v>71089.1403333807</v>
      </c>
      <c r="J83" s="2">
        <v>2430.4756297893227</v>
      </c>
      <c r="K83" s="2">
        <v>107710.81868694045</v>
      </c>
      <c r="L83" s="4"/>
    </row>
    <row r="84" spans="1:12" ht="15">
      <c r="A84" t="s">
        <v>14</v>
      </c>
      <c r="B84" s="2">
        <v>855786.4482503568</v>
      </c>
      <c r="C84" s="2">
        <v>33409.75356606992</v>
      </c>
      <c r="D84" s="2">
        <v>379929.902632133</v>
      </c>
      <c r="E84" s="2">
        <v>52855.45396387678</v>
      </c>
      <c r="F84" s="2">
        <v>35225.660224697895</v>
      </c>
      <c r="G84" s="2">
        <v>72942.56062458239</v>
      </c>
      <c r="H84" s="2">
        <v>87752.51278564786</v>
      </c>
      <c r="I84" s="2">
        <f t="shared" si="20"/>
        <v>57916.65843852759</v>
      </c>
      <c r="J84" s="2">
        <v>17812.11952118602</v>
      </c>
      <c r="K84" s="2">
        <v>87752.51278564786</v>
      </c>
      <c r="L84" s="4"/>
    </row>
    <row r="85" spans="1:12" ht="17.25">
      <c r="A85" t="s">
        <v>15</v>
      </c>
      <c r="B85" s="5">
        <v>1049737.408969793</v>
      </c>
      <c r="C85" s="5">
        <v>39906.24894617185</v>
      </c>
      <c r="D85" s="5">
        <v>443169.5657432421</v>
      </c>
      <c r="E85" s="5">
        <v>55160.52864952385</v>
      </c>
      <c r="F85" s="5">
        <v>36226.364911572564</v>
      </c>
      <c r="G85" s="5">
        <v>76900.61077293457</v>
      </c>
      <c r="H85" s="5">
        <v>115203.41206778486</v>
      </c>
      <c r="I85" s="5">
        <f t="shared" si="20"/>
        <v>76034.25196473801</v>
      </c>
      <c r="J85" s="5">
        <v>24917.29662530174</v>
      </c>
      <c r="K85" s="5">
        <v>115203.41206778486</v>
      </c>
      <c r="L85" s="233"/>
    </row>
    <row r="86" spans="1:12" ht="15">
      <c r="A86" t="s">
        <v>24</v>
      </c>
      <c r="B86" s="4">
        <f aca="true" t="shared" si="21" ref="B86:J86">SUM(B74:B85)</f>
        <v>9448108.0474839</v>
      </c>
      <c r="C86" s="4">
        <f t="shared" si="21"/>
        <v>432327.31588874466</v>
      </c>
      <c r="D86" s="4">
        <f t="shared" si="21"/>
        <v>4922450.253796787</v>
      </c>
      <c r="E86" s="4">
        <f t="shared" si="21"/>
        <v>682374.7682052756</v>
      </c>
      <c r="F86" s="4">
        <f t="shared" si="21"/>
        <v>469106.703120279</v>
      </c>
      <c r="G86" s="4">
        <f t="shared" si="21"/>
        <v>868901.9616240715</v>
      </c>
      <c r="H86" s="4">
        <f t="shared" si="21"/>
        <v>1268680.9893574384</v>
      </c>
      <c r="I86" s="4">
        <f t="shared" si="21"/>
        <v>837329.4529759095</v>
      </c>
      <c r="J86" s="4">
        <f t="shared" si="21"/>
        <v>109754.6337253596</v>
      </c>
      <c r="K86" s="4">
        <f>SUM(K74:K85)</f>
        <v>1268680.9893574384</v>
      </c>
      <c r="L86" s="4"/>
    </row>
    <row r="88" ht="15.75">
      <c r="A88" s="6" t="s">
        <v>224</v>
      </c>
    </row>
    <row r="90" spans="1:12" ht="15">
      <c r="A90" t="s">
        <v>4</v>
      </c>
      <c r="B90" s="2">
        <v>973238.393302817</v>
      </c>
      <c r="C90" s="2">
        <v>39287.160258590564</v>
      </c>
      <c r="D90" s="2">
        <v>453110.4728770235</v>
      </c>
      <c r="E90" s="2">
        <v>49940.51132678468</v>
      </c>
      <c r="F90" s="2">
        <v>39145.90441659105</v>
      </c>
      <c r="G90" s="2">
        <v>71737.37124620007</v>
      </c>
      <c r="H90" s="2">
        <f aca="true" t="shared" si="22" ref="H90:I101">H74/(1+H106)</f>
        <v>94509.52847571057</v>
      </c>
      <c r="I90" s="2">
        <f t="shared" si="22"/>
        <v>63652.24219519925</v>
      </c>
      <c r="J90" s="2">
        <v>17365.693024822216</v>
      </c>
      <c r="K90" s="2">
        <v>95061.7720624516</v>
      </c>
      <c r="L90" s="4"/>
    </row>
    <row r="91" spans="1:12" ht="15">
      <c r="A91" t="s">
        <v>5</v>
      </c>
      <c r="B91" s="2">
        <v>1023815.9792127085</v>
      </c>
      <c r="C91" s="2">
        <v>36958.91702666865</v>
      </c>
      <c r="D91" s="2">
        <v>403472.931742001</v>
      </c>
      <c r="E91" s="2">
        <v>49720.282379453296</v>
      </c>
      <c r="F91" s="2">
        <v>36819.36019843203</v>
      </c>
      <c r="G91" s="2">
        <v>69414.7469431637</v>
      </c>
      <c r="H91" s="2">
        <f t="shared" si="22"/>
        <v>98060.85934456963</v>
      </c>
      <c r="I91" s="2">
        <f t="shared" si="22"/>
        <v>66217.05463517048</v>
      </c>
      <c r="J91" s="2">
        <v>22125.492187209642</v>
      </c>
      <c r="K91" s="2">
        <v>99274.70600141861</v>
      </c>
      <c r="L91" s="4"/>
    </row>
    <row r="92" spans="1:12" ht="15">
      <c r="A92" t="s">
        <v>6</v>
      </c>
      <c r="B92" s="2">
        <v>815668.4649826731</v>
      </c>
      <c r="C92" s="2">
        <v>39736.17983586981</v>
      </c>
      <c r="D92" s="2">
        <v>418555.578611076</v>
      </c>
      <c r="E92" s="2">
        <v>51128.8870254568</v>
      </c>
      <c r="F92" s="2">
        <v>36885.49865466991</v>
      </c>
      <c r="G92" s="2">
        <v>62615.52581785744</v>
      </c>
      <c r="H92" s="2">
        <f t="shared" si="22"/>
        <v>89494.8341961523</v>
      </c>
      <c r="I92" s="2">
        <f t="shared" si="22"/>
        <v>60624.171178099714</v>
      </c>
      <c r="J92" s="2">
        <v>2497.877356198696</v>
      </c>
      <c r="K92" s="2">
        <v>90604.94019403274</v>
      </c>
      <c r="L92" s="4"/>
    </row>
    <row r="93" spans="1:12" ht="15">
      <c r="A93" t="s">
        <v>7</v>
      </c>
      <c r="B93" s="2">
        <v>743199.0662004452</v>
      </c>
      <c r="C93" s="2">
        <v>22547.997234463775</v>
      </c>
      <c r="D93" s="2">
        <v>336612.48908503423</v>
      </c>
      <c r="E93" s="2">
        <v>45051.87808437587</v>
      </c>
      <c r="F93" s="2">
        <v>31852.285892660846</v>
      </c>
      <c r="G93" s="2">
        <v>62164.01375742746</v>
      </c>
      <c r="H93" s="2">
        <f t="shared" si="22"/>
        <v>92769.16603513106</v>
      </c>
      <c r="I93" s="2">
        <f t="shared" si="22"/>
        <v>62558.873403917045</v>
      </c>
      <c r="J93" s="2">
        <v>2709.6902168215374</v>
      </c>
      <c r="K93" s="2">
        <v>93712.53422315234</v>
      </c>
      <c r="L93" s="4"/>
    </row>
    <row r="94" spans="1:12" ht="15">
      <c r="A94" t="s">
        <v>8</v>
      </c>
      <c r="B94" s="2">
        <v>589575.8710702246</v>
      </c>
      <c r="C94" s="2">
        <v>32167.016278403516</v>
      </c>
      <c r="D94" s="2">
        <v>343496.7948633528</v>
      </c>
      <c r="E94" s="2">
        <v>53138.592267794396</v>
      </c>
      <c r="F94" s="2">
        <v>40534.18735500976</v>
      </c>
      <c r="G94" s="2">
        <v>66967.30985948647</v>
      </c>
      <c r="H94" s="2">
        <f t="shared" si="22"/>
        <v>95739.25936482694</v>
      </c>
      <c r="I94" s="2">
        <f t="shared" si="22"/>
        <v>65043.36271156541</v>
      </c>
      <c r="J94" s="2">
        <v>3005.0682657696975</v>
      </c>
      <c r="K94" s="2">
        <v>96828.93214453383</v>
      </c>
      <c r="L94" s="4"/>
    </row>
    <row r="95" spans="1:12" ht="15">
      <c r="A95" t="s">
        <v>9</v>
      </c>
      <c r="B95" s="2">
        <v>618685.4085927921</v>
      </c>
      <c r="C95" s="2">
        <v>25396.451641497137</v>
      </c>
      <c r="D95" s="2">
        <v>303365.72657010966</v>
      </c>
      <c r="E95" s="2">
        <v>44669.42142820013</v>
      </c>
      <c r="F95" s="2">
        <v>32188.96615989334</v>
      </c>
      <c r="G95" s="2">
        <v>65232.98600374145</v>
      </c>
      <c r="H95" s="2">
        <f t="shared" si="22"/>
        <v>99791.39837045356</v>
      </c>
      <c r="I95" s="2">
        <f t="shared" si="22"/>
        <v>67092.2130683375</v>
      </c>
      <c r="J95" s="2">
        <v>2563.661152899876</v>
      </c>
      <c r="K95" s="2">
        <v>100745.85345771353</v>
      </c>
      <c r="L95" s="4"/>
    </row>
    <row r="96" spans="1:12" ht="15">
      <c r="A96" t="s">
        <v>10</v>
      </c>
      <c r="B96" s="2">
        <v>438249.5239246448</v>
      </c>
      <c r="C96" s="2">
        <v>36875.50886408092</v>
      </c>
      <c r="D96" s="2">
        <v>396504.97716576734</v>
      </c>
      <c r="E96" s="2">
        <v>62433.538524316544</v>
      </c>
      <c r="F96" s="2">
        <v>40917.526349143176</v>
      </c>
      <c r="G96" s="2">
        <v>73489.83889092729</v>
      </c>
      <c r="H96" s="2">
        <f t="shared" si="22"/>
        <v>111546.25297464471</v>
      </c>
      <c r="I96" s="2">
        <f t="shared" si="22"/>
        <v>74956.3824440783</v>
      </c>
      <c r="J96" s="2">
        <v>2990.0976605344654</v>
      </c>
      <c r="K96" s="2">
        <v>112426.88346023537</v>
      </c>
      <c r="L96" s="4"/>
    </row>
    <row r="97" spans="1:12" ht="15">
      <c r="A97" t="s">
        <v>11</v>
      </c>
      <c r="B97" s="2">
        <v>481146.14209475496</v>
      </c>
      <c r="C97" s="2">
        <v>34612.43994600633</v>
      </c>
      <c r="D97" s="2">
        <v>405695.6624766867</v>
      </c>
      <c r="E97" s="2">
        <v>65055.07354915004</v>
      </c>
      <c r="F97" s="2">
        <v>39526.89708450603</v>
      </c>
      <c r="G97" s="2">
        <v>69546.15535174498</v>
      </c>
      <c r="H97" s="2">
        <f t="shared" si="22"/>
        <v>112971.22565248128</v>
      </c>
      <c r="I97" s="2">
        <f t="shared" si="22"/>
        <v>76445.50909962779</v>
      </c>
      <c r="J97" s="2">
        <v>2846.25398657091</v>
      </c>
      <c r="K97" s="2">
        <v>113808.4824237817</v>
      </c>
      <c r="L97" s="4"/>
    </row>
    <row r="98" spans="1:12" ht="15">
      <c r="A98" t="s">
        <v>12</v>
      </c>
      <c r="B98" s="2">
        <v>490254.16789520445</v>
      </c>
      <c r="C98" s="2">
        <v>32853.208488541735</v>
      </c>
      <c r="D98" s="2">
        <v>415501.06163475366</v>
      </c>
      <c r="E98" s="2">
        <v>66207.69373076339</v>
      </c>
      <c r="F98" s="2">
        <v>37651.07244310476</v>
      </c>
      <c r="G98" s="2">
        <v>69993.96831117374</v>
      </c>
      <c r="H98" s="2">
        <f t="shared" si="22"/>
        <v>113638.21194605461</v>
      </c>
      <c r="I98" s="2">
        <f t="shared" si="22"/>
        <v>76117.67738114593</v>
      </c>
      <c r="J98" s="2">
        <v>2700.247575431037</v>
      </c>
      <c r="K98" s="2">
        <v>114374.63169422641</v>
      </c>
      <c r="L98" s="4"/>
    </row>
    <row r="99" spans="1:12" ht="15">
      <c r="A99" t="s">
        <v>13</v>
      </c>
      <c r="B99" s="2">
        <v>596593.2384964299</v>
      </c>
      <c r="C99" s="2">
        <v>28889.422158646463</v>
      </c>
      <c r="D99" s="2">
        <v>356803.35522411123</v>
      </c>
      <c r="E99" s="2">
        <v>52843.708318633995</v>
      </c>
      <c r="F99" s="2">
        <v>40433.535964650124</v>
      </c>
      <c r="G99" s="2">
        <v>70557.76300401751</v>
      </c>
      <c r="H99" s="2">
        <f t="shared" si="22"/>
        <v>101952.45657766488</v>
      </c>
      <c r="I99" s="2">
        <f t="shared" si="22"/>
        <v>68887.51940114303</v>
      </c>
      <c r="J99" s="2">
        <v>2283.826909666854</v>
      </c>
      <c r="K99" s="2">
        <v>102967.18117822851</v>
      </c>
      <c r="L99" s="4"/>
    </row>
    <row r="100" spans="1:12" ht="15">
      <c r="A100" t="s">
        <v>14</v>
      </c>
      <c r="B100" s="2">
        <v>765723.6610533872</v>
      </c>
      <c r="C100" s="2">
        <v>30769.293901794295</v>
      </c>
      <c r="D100" s="2">
        <v>357287.78623799013</v>
      </c>
      <c r="E100" s="2">
        <v>49831.227970294625</v>
      </c>
      <c r="F100" s="2">
        <v>33319.977956648945</v>
      </c>
      <c r="G100" s="2">
        <v>69340.75776849983</v>
      </c>
      <c r="H100" s="2">
        <f t="shared" si="22"/>
        <v>83419.41495533603</v>
      </c>
      <c r="I100" s="2">
        <f t="shared" si="22"/>
        <v>56122.98746507726</v>
      </c>
      <c r="J100" s="2">
        <v>16420.382094571563</v>
      </c>
      <c r="K100" s="2">
        <v>84544.59279620954</v>
      </c>
      <c r="L100" s="4"/>
    </row>
    <row r="101" spans="1:12" ht="17.25">
      <c r="A101" t="s">
        <v>15</v>
      </c>
      <c r="B101" s="5">
        <v>916604.6250643297</v>
      </c>
      <c r="C101" s="5">
        <v>36248.52603324815</v>
      </c>
      <c r="D101" s="5">
        <v>408772.4060148695</v>
      </c>
      <c r="E101" s="5">
        <v>51231.44660972098</v>
      </c>
      <c r="F101" s="5">
        <v>33835.421211682835</v>
      </c>
      <c r="G101" s="5">
        <v>72083.54039796317</v>
      </c>
      <c r="H101" s="5">
        <f t="shared" si="22"/>
        <v>107987.04619253926</v>
      </c>
      <c r="I101" s="5">
        <f t="shared" si="22"/>
        <v>73679.48160308269</v>
      </c>
      <c r="J101" s="5">
        <v>22171.665685044332</v>
      </c>
      <c r="K101" s="5">
        <v>109119.55009648114</v>
      </c>
      <c r="L101" s="4"/>
    </row>
    <row r="102" spans="1:12" ht="15">
      <c r="A102" t="s">
        <v>24</v>
      </c>
      <c r="B102" s="4">
        <f>B91</f>
        <v>1023815.9792127085</v>
      </c>
      <c r="C102" s="4">
        <f aca="true" t="shared" si="23" ref="C102:K102">C91</f>
        <v>36958.91702666865</v>
      </c>
      <c r="D102" s="4">
        <f t="shared" si="23"/>
        <v>403472.931742001</v>
      </c>
      <c r="E102" s="4">
        <f t="shared" si="23"/>
        <v>49720.282379453296</v>
      </c>
      <c r="F102" s="4">
        <f t="shared" si="23"/>
        <v>36819.36019843203</v>
      </c>
      <c r="G102" s="4">
        <f t="shared" si="23"/>
        <v>69414.7469431637</v>
      </c>
      <c r="H102" s="4">
        <f t="shared" si="23"/>
        <v>98060.85934456963</v>
      </c>
      <c r="I102" s="4">
        <f t="shared" si="23"/>
        <v>66217.05463517048</v>
      </c>
      <c r="J102" s="4">
        <f t="shared" si="23"/>
        <v>22125.492187209642</v>
      </c>
      <c r="K102" s="4">
        <f t="shared" si="23"/>
        <v>99274.70600141861</v>
      </c>
      <c r="L102" s="4"/>
    </row>
    <row r="104" ht="15.75">
      <c r="A104" s="6" t="s">
        <v>102</v>
      </c>
    </row>
    <row r="106" spans="1:11" ht="15">
      <c r="A106" t="s">
        <v>4</v>
      </c>
      <c r="B106" s="9">
        <f>B74/B90-1</f>
        <v>0.13441540402786134</v>
      </c>
      <c r="C106" s="9">
        <f aca="true" t="shared" si="24" ref="C106:K106">C74/C90-1</f>
        <v>0.09825396470117975</v>
      </c>
      <c r="D106" s="9">
        <f t="shared" si="24"/>
        <v>0.07462370206887337</v>
      </c>
      <c r="E106" s="9">
        <f t="shared" si="24"/>
        <v>0.06740406947745403</v>
      </c>
      <c r="F106" s="9">
        <f t="shared" si="24"/>
        <v>0.057912144654217235</v>
      </c>
      <c r="G106" s="9">
        <f t="shared" si="24"/>
        <v>0.053069151374382395</v>
      </c>
      <c r="H106" s="9">
        <f>G106</f>
        <v>0.053069151374382395</v>
      </c>
      <c r="I106" s="9">
        <f>$B$3</f>
        <v>0.03195964887946218</v>
      </c>
      <c r="J106" s="9">
        <f t="shared" si="24"/>
        <v>0.13143601940269534</v>
      </c>
      <c r="K106" s="9">
        <f t="shared" si="24"/>
        <v>0.04695154308006977</v>
      </c>
    </row>
    <row r="107" spans="1:11" ht="15">
      <c r="A107" t="s">
        <v>5</v>
      </c>
      <c r="B107" s="9">
        <f aca="true" t="shared" si="25" ref="B107:K107">B75/B91-1</f>
        <v>0.14660064084833713</v>
      </c>
      <c r="C107" s="9">
        <f t="shared" si="25"/>
        <v>0.10031909344936984</v>
      </c>
      <c r="D107" s="9">
        <f t="shared" si="25"/>
        <v>0.07004855014165101</v>
      </c>
      <c r="E107" s="9">
        <f t="shared" si="25"/>
        <v>0.06334709141147377</v>
      </c>
      <c r="F107" s="9">
        <f t="shared" si="25"/>
        <v>0.05951146702462218</v>
      </c>
      <c r="G107" s="9">
        <f t="shared" si="25"/>
        <v>0.05582744053148603</v>
      </c>
      <c r="H107" s="9">
        <f aca="true" t="shared" si="26" ref="H107:H117">G107</f>
        <v>0.05582744053148603</v>
      </c>
      <c r="I107" s="9">
        <f aca="true" t="shared" si="27" ref="I107:I118">$B$3</f>
        <v>0.03195964887946218</v>
      </c>
      <c r="J107" s="9">
        <f t="shared" si="25"/>
        <v>0.10838663062510312</v>
      </c>
      <c r="K107" s="9">
        <f t="shared" si="25"/>
        <v>0.0429176807294247</v>
      </c>
    </row>
    <row r="108" spans="1:11" ht="15">
      <c r="A108" t="s">
        <v>6</v>
      </c>
      <c r="B108" s="9">
        <f aca="true" t="shared" si="28" ref="B108:K108">B76/B92-1</f>
        <v>0.12352177947692677</v>
      </c>
      <c r="C108" s="9">
        <f t="shared" si="28"/>
        <v>0.10347698824438956</v>
      </c>
      <c r="D108" s="9">
        <f t="shared" si="28"/>
        <v>0.07764481779808041</v>
      </c>
      <c r="E108" s="9">
        <f t="shared" si="28"/>
        <v>0.0692206339644974</v>
      </c>
      <c r="F108" s="9">
        <f t="shared" si="28"/>
        <v>0.06626490556953413</v>
      </c>
      <c r="G108" s="9">
        <f t="shared" si="28"/>
        <v>0.059172330744052815</v>
      </c>
      <c r="H108" s="9">
        <f t="shared" si="26"/>
        <v>0.059172330744052815</v>
      </c>
      <c r="I108" s="9">
        <f t="shared" si="27"/>
        <v>0.03195964887946218</v>
      </c>
      <c r="J108" s="9">
        <f t="shared" si="28"/>
        <v>0.07656766926810543</v>
      </c>
      <c r="K108" s="9">
        <f t="shared" si="28"/>
        <v>0.04619518452410065</v>
      </c>
    </row>
    <row r="109" spans="1:11" ht="15">
      <c r="A109" t="s">
        <v>7</v>
      </c>
      <c r="B109" s="9">
        <f aca="true" t="shared" si="29" ref="B109:K109">B77/B93-1</f>
        <v>0.11457769518506544</v>
      </c>
      <c r="C109" s="9">
        <f t="shared" si="29"/>
        <v>0.08706789136651771</v>
      </c>
      <c r="D109" s="9">
        <f t="shared" si="29"/>
        <v>0.06418336989738105</v>
      </c>
      <c r="E109" s="9">
        <f t="shared" si="29"/>
        <v>0.06156929057082983</v>
      </c>
      <c r="F109" s="9">
        <f t="shared" si="29"/>
        <v>0.05821705241067465</v>
      </c>
      <c r="G109" s="9">
        <f t="shared" si="29"/>
        <v>0.05439672226008607</v>
      </c>
      <c r="H109" s="9">
        <f t="shared" si="26"/>
        <v>0.05439672226008607</v>
      </c>
      <c r="I109" s="9">
        <f t="shared" si="27"/>
        <v>0.03195964887946218</v>
      </c>
      <c r="J109" s="9">
        <f t="shared" si="29"/>
        <v>0.07166803774630259</v>
      </c>
      <c r="K109" s="9">
        <f t="shared" si="29"/>
        <v>0.043782514314695486</v>
      </c>
    </row>
    <row r="110" spans="1:11" ht="15">
      <c r="A110" t="s">
        <v>8</v>
      </c>
      <c r="B110" s="9">
        <f aca="true" t="shared" si="30" ref="B110:K110">B78/B94-1</f>
        <v>0.10554638129073757</v>
      </c>
      <c r="C110" s="9">
        <f t="shared" si="30"/>
        <v>0.09484433803275416</v>
      </c>
      <c r="D110" s="9">
        <f t="shared" si="30"/>
        <v>0.0710513818193863</v>
      </c>
      <c r="E110" s="9">
        <f t="shared" si="30"/>
        <v>0.06777208512813804</v>
      </c>
      <c r="F110" s="9">
        <f t="shared" si="30"/>
        <v>0.06443076489457433</v>
      </c>
      <c r="G110" s="9">
        <f t="shared" si="30"/>
        <v>0.06226213988502738</v>
      </c>
      <c r="H110" s="9">
        <f t="shared" si="26"/>
        <v>0.06226213988502738</v>
      </c>
      <c r="I110" s="9">
        <f t="shared" si="27"/>
        <v>0.03195964887946218</v>
      </c>
      <c r="J110" s="9">
        <f t="shared" si="30"/>
        <v>0.05432289607947993</v>
      </c>
      <c r="K110" s="9">
        <f t="shared" si="30"/>
        <v>0.050307880831358176</v>
      </c>
    </row>
    <row r="111" spans="1:11" ht="15">
      <c r="A111" t="s">
        <v>9</v>
      </c>
      <c r="B111" s="9">
        <f aca="true" t="shared" si="31" ref="B111:K111">B79/B95-1</f>
        <v>0.09795975454151051</v>
      </c>
      <c r="C111" s="9">
        <f t="shared" si="31"/>
        <v>0.08071673269821522</v>
      </c>
      <c r="D111" s="9">
        <f t="shared" si="31"/>
        <v>0.05655765580933925</v>
      </c>
      <c r="E111" s="9">
        <f t="shared" si="31"/>
        <v>0.05450696366218444</v>
      </c>
      <c r="F111" s="9">
        <f t="shared" si="31"/>
        <v>0.051500239137934445</v>
      </c>
      <c r="G111" s="9">
        <f t="shared" si="31"/>
        <v>0.051230104955699574</v>
      </c>
      <c r="H111" s="9">
        <f t="shared" si="26"/>
        <v>0.051230104955699574</v>
      </c>
      <c r="I111" s="9">
        <f t="shared" si="27"/>
        <v>0.03195964887946218</v>
      </c>
      <c r="J111" s="9">
        <f t="shared" si="31"/>
        <v>0.03919343482524984</v>
      </c>
      <c r="K111" s="9">
        <f t="shared" si="31"/>
        <v>0.041270867060345884</v>
      </c>
    </row>
    <row r="112" spans="1:11" ht="15">
      <c r="A112" t="s">
        <v>10</v>
      </c>
      <c r="B112" s="9">
        <f aca="true" t="shared" si="32" ref="B112:K112">B80/B96-1</f>
        <v>0.07886548773446589</v>
      </c>
      <c r="C112" s="9">
        <f t="shared" si="32"/>
        <v>0.08131845781681335</v>
      </c>
      <c r="D112" s="9">
        <f t="shared" si="32"/>
        <v>0.0676227586100906</v>
      </c>
      <c r="E112" s="9">
        <f t="shared" si="32"/>
        <v>0.06144457938385939</v>
      </c>
      <c r="F112" s="9">
        <f t="shared" si="32"/>
        <v>0.051614545626099906</v>
      </c>
      <c r="G112" s="9">
        <f t="shared" si="32"/>
        <v>0.0506847111657065</v>
      </c>
      <c r="H112" s="9">
        <f t="shared" si="26"/>
        <v>0.0506847111657065</v>
      </c>
      <c r="I112" s="9">
        <f t="shared" si="27"/>
        <v>0.03195964887946218</v>
      </c>
      <c r="J112" s="9">
        <f t="shared" si="32"/>
        <v>0.05034902347870274</v>
      </c>
      <c r="K112" s="9">
        <f t="shared" si="32"/>
        <v>0.042454784666642764</v>
      </c>
    </row>
    <row r="113" spans="1:11" ht="15">
      <c r="A113" t="s">
        <v>11</v>
      </c>
      <c r="B113" s="9">
        <f aca="true" t="shared" si="33" ref="B113:K113">B81/B97-1</f>
        <v>0.09443879803937794</v>
      </c>
      <c r="C113" s="9">
        <f t="shared" si="33"/>
        <v>0.0928376778798834</v>
      </c>
      <c r="D113" s="9">
        <f t="shared" si="33"/>
        <v>0.07519824158641608</v>
      </c>
      <c r="E113" s="9">
        <f t="shared" si="33"/>
        <v>0.07187293016976026</v>
      </c>
      <c r="F113" s="9">
        <f t="shared" si="33"/>
        <v>0.05890656800907501</v>
      </c>
      <c r="G113" s="9">
        <f t="shared" si="33"/>
        <v>0.058042023039842405</v>
      </c>
      <c r="H113" s="9">
        <f t="shared" si="26"/>
        <v>0.058042023039842405</v>
      </c>
      <c r="I113" s="9">
        <f t="shared" si="27"/>
        <v>0.03195964887946218</v>
      </c>
      <c r="J113" s="9">
        <f t="shared" si="33"/>
        <v>0.05465886206498216</v>
      </c>
      <c r="K113" s="9">
        <f t="shared" si="33"/>
        <v>0.050258307544789105</v>
      </c>
    </row>
    <row r="114" spans="1:11" ht="15">
      <c r="A114" t="s">
        <v>12</v>
      </c>
      <c r="B114" s="9">
        <f aca="true" t="shared" si="34" ref="B114:K114">B82/B98-1</f>
        <v>0.0853398576722848</v>
      </c>
      <c r="C114" s="9">
        <f t="shared" si="34"/>
        <v>0.07661704201518904</v>
      </c>
      <c r="D114" s="9">
        <f t="shared" si="34"/>
        <v>0.06476405800300089</v>
      </c>
      <c r="E114" s="9">
        <f t="shared" si="34"/>
        <v>0.052393585843241386</v>
      </c>
      <c r="F114" s="9">
        <f t="shared" si="34"/>
        <v>0.0481034420495714</v>
      </c>
      <c r="G114" s="9">
        <f t="shared" si="34"/>
        <v>0.0473212535055032</v>
      </c>
      <c r="H114" s="9">
        <f t="shared" si="26"/>
        <v>0.0473212535055032</v>
      </c>
      <c r="I114" s="9">
        <f t="shared" si="27"/>
        <v>0.03195964887946218</v>
      </c>
      <c r="J114" s="9">
        <f t="shared" si="34"/>
        <v>0.05731932989199939</v>
      </c>
      <c r="K114" s="9">
        <f t="shared" si="34"/>
        <v>0.040577904544840004</v>
      </c>
    </row>
    <row r="115" spans="1:11" ht="15">
      <c r="A115" t="s">
        <v>13</v>
      </c>
      <c r="B115" s="9">
        <f aca="true" t="shared" si="35" ref="B115:K115">B83/B99-1</f>
        <v>0.10168913520501133</v>
      </c>
      <c r="C115" s="9">
        <f t="shared" si="35"/>
        <v>0.07664843049851178</v>
      </c>
      <c r="D115" s="9">
        <f t="shared" si="35"/>
        <v>0.06799037209182068</v>
      </c>
      <c r="E115" s="9">
        <f t="shared" si="35"/>
        <v>0.06289332186293839</v>
      </c>
      <c r="F115" s="9">
        <f t="shared" si="35"/>
        <v>0.05989627154255883</v>
      </c>
      <c r="G115" s="9">
        <f t="shared" si="35"/>
        <v>0.056480856887337394</v>
      </c>
      <c r="H115" s="9">
        <f t="shared" si="26"/>
        <v>0.056480856887337394</v>
      </c>
      <c r="I115" s="9">
        <f t="shared" si="27"/>
        <v>0.03195964887946218</v>
      </c>
      <c r="J115" s="9">
        <f t="shared" si="35"/>
        <v>0.06421183650203188</v>
      </c>
      <c r="K115" s="9">
        <f t="shared" si="35"/>
        <v>0.04606941216057048</v>
      </c>
    </row>
    <row r="116" spans="1:11" ht="15">
      <c r="A116" t="s">
        <v>14</v>
      </c>
      <c r="B116" s="9">
        <f aca="true" t="shared" si="36" ref="B116:K116">B84/B100-1</f>
        <v>0.11761787153484637</v>
      </c>
      <c r="C116" s="9">
        <f t="shared" si="36"/>
        <v>0.08581476301351354</v>
      </c>
      <c r="D116" s="9">
        <f t="shared" si="36"/>
        <v>0.06337220936811105</v>
      </c>
      <c r="E116" s="9">
        <f t="shared" si="36"/>
        <v>0.06068937324572765</v>
      </c>
      <c r="F116" s="9">
        <f t="shared" si="36"/>
        <v>0.05719338321676992</v>
      </c>
      <c r="G116" s="9">
        <f t="shared" si="36"/>
        <v>0.05194351737700198</v>
      </c>
      <c r="H116" s="9">
        <f t="shared" si="26"/>
        <v>0.05194351737700198</v>
      </c>
      <c r="I116" s="9">
        <f t="shared" si="27"/>
        <v>0.03195964887946218</v>
      </c>
      <c r="J116" s="9">
        <f t="shared" si="36"/>
        <v>0.08475670167715244</v>
      </c>
      <c r="K116" s="9">
        <f t="shared" si="36"/>
        <v>0.037943526408257044</v>
      </c>
    </row>
    <row r="117" spans="1:11" ht="15">
      <c r="A117" t="s">
        <v>15</v>
      </c>
      <c r="B117" s="9">
        <f aca="true" t="shared" si="37" ref="B117:K117">B85/B101-1</f>
        <v>0.14524559473624699</v>
      </c>
      <c r="C117" s="9">
        <f t="shared" si="37"/>
        <v>0.10090680403304497</v>
      </c>
      <c r="D117" s="9">
        <f t="shared" si="37"/>
        <v>0.0841474601079637</v>
      </c>
      <c r="E117" s="9">
        <f t="shared" si="37"/>
        <v>0.07669277952923026</v>
      </c>
      <c r="F117" s="9">
        <f t="shared" si="37"/>
        <v>0.07066392597660864</v>
      </c>
      <c r="G117" s="9">
        <f t="shared" si="37"/>
        <v>0.06682621786301035</v>
      </c>
      <c r="H117" s="9">
        <f t="shared" si="26"/>
        <v>0.06682621786301035</v>
      </c>
      <c r="I117" s="9">
        <f t="shared" si="27"/>
        <v>0.03195964887946218</v>
      </c>
      <c r="J117" s="9">
        <f t="shared" si="37"/>
        <v>0.12383512268586316</v>
      </c>
      <c r="K117" s="9">
        <f t="shared" si="37"/>
        <v>0.055754096914113926</v>
      </c>
    </row>
    <row r="118" spans="1:11" ht="15">
      <c r="A118" t="s">
        <v>24</v>
      </c>
      <c r="B118" s="9">
        <f aca="true" t="shared" si="38" ref="B118:K118">B86/B102-1</f>
        <v>8.228326417359966</v>
      </c>
      <c r="C118" s="9">
        <f t="shared" si="38"/>
        <v>10.697510389083854</v>
      </c>
      <c r="D118" s="9">
        <f t="shared" si="38"/>
        <v>11.20019948437192</v>
      </c>
      <c r="E118" s="9">
        <f t="shared" si="38"/>
        <v>12.724273788261192</v>
      </c>
      <c r="F118" s="9">
        <f t="shared" si="38"/>
        <v>11.740761941329339</v>
      </c>
      <c r="G118" s="9">
        <f t="shared" si="38"/>
        <v>11.517541299048776</v>
      </c>
      <c r="H118" s="9" t="e">
        <f>#REF!</f>
        <v>#REF!</v>
      </c>
      <c r="I118" s="9">
        <f t="shared" si="27"/>
        <v>0.03195964887946218</v>
      </c>
      <c r="J118" s="9">
        <f t="shared" si="38"/>
        <v>3.960551060138984</v>
      </c>
      <c r="K118" s="9">
        <f t="shared" si="38"/>
        <v>11.779498831649114</v>
      </c>
    </row>
    <row r="120" ht="15.75">
      <c r="A120" s="6" t="s">
        <v>103</v>
      </c>
    </row>
    <row r="122" spans="1:11" ht="15">
      <c r="A122" t="s">
        <v>4</v>
      </c>
      <c r="B122" s="9">
        <f aca="true" t="shared" si="39" ref="B122:G134">B106-$B$3</f>
        <v>0.10245575514839916</v>
      </c>
      <c r="C122" s="9">
        <f t="shared" si="39"/>
        <v>0.06629431582171758</v>
      </c>
      <c r="D122" s="9">
        <f t="shared" si="39"/>
        <v>0.04266405318941119</v>
      </c>
      <c r="E122" s="9">
        <f t="shared" si="39"/>
        <v>0.035444420597991855</v>
      </c>
      <c r="F122" s="9">
        <f t="shared" si="39"/>
        <v>0.025952495774755058</v>
      </c>
      <c r="G122" s="9">
        <f t="shared" si="39"/>
        <v>0.021109502494920218</v>
      </c>
      <c r="H122" s="9">
        <f aca="true" t="shared" si="40" ref="H122:H134">G122</f>
        <v>0.021109502494920218</v>
      </c>
      <c r="I122" s="9"/>
      <c r="J122" s="9">
        <f aca="true" t="shared" si="41" ref="J122:K134">J106-$B$3</f>
        <v>0.09947637052323316</v>
      </c>
      <c r="K122" s="9">
        <f t="shared" si="41"/>
        <v>0.014991894200607592</v>
      </c>
    </row>
    <row r="123" spans="1:11" ht="15">
      <c r="A123" t="s">
        <v>5</v>
      </c>
      <c r="B123" s="9">
        <f t="shared" si="39"/>
        <v>0.11464099196887495</v>
      </c>
      <c r="C123" s="9">
        <f t="shared" si="39"/>
        <v>0.06835944456990767</v>
      </c>
      <c r="D123" s="9">
        <f t="shared" si="39"/>
        <v>0.038088901262188835</v>
      </c>
      <c r="E123" s="9">
        <f t="shared" si="39"/>
        <v>0.03138744253201159</v>
      </c>
      <c r="F123" s="9">
        <f t="shared" si="39"/>
        <v>0.02755181814516</v>
      </c>
      <c r="G123" s="9">
        <f t="shared" si="39"/>
        <v>0.02386779165202385</v>
      </c>
      <c r="H123" s="9">
        <f t="shared" si="40"/>
        <v>0.02386779165202385</v>
      </c>
      <c r="I123" s="9"/>
      <c r="J123" s="9">
        <f t="shared" si="41"/>
        <v>0.07642698174564094</v>
      </c>
      <c r="K123" s="9">
        <f t="shared" si="41"/>
        <v>0.010958031849962524</v>
      </c>
    </row>
    <row r="124" spans="1:11" ht="15">
      <c r="A124" t="s">
        <v>6</v>
      </c>
      <c r="B124" s="9">
        <f t="shared" si="39"/>
        <v>0.0915621305974646</v>
      </c>
      <c r="C124" s="9">
        <f t="shared" si="39"/>
        <v>0.07151733936492738</v>
      </c>
      <c r="D124" s="9">
        <f t="shared" si="39"/>
        <v>0.045685168918618235</v>
      </c>
      <c r="E124" s="9">
        <f t="shared" si="39"/>
        <v>0.037260985085035225</v>
      </c>
      <c r="F124" s="9">
        <f t="shared" si="39"/>
        <v>0.03430525669007195</v>
      </c>
      <c r="G124" s="9">
        <f t="shared" si="39"/>
        <v>0.027212681864590638</v>
      </c>
      <c r="H124" s="9">
        <f t="shared" si="40"/>
        <v>0.027212681864590638</v>
      </c>
      <c r="I124" s="9"/>
      <c r="J124" s="9">
        <f t="shared" si="41"/>
        <v>0.044608020388643255</v>
      </c>
      <c r="K124" s="9">
        <f t="shared" si="41"/>
        <v>0.014235535644638475</v>
      </c>
    </row>
    <row r="125" spans="1:11" ht="15">
      <c r="A125" t="s">
        <v>7</v>
      </c>
      <c r="B125" s="9">
        <f t="shared" si="39"/>
        <v>0.08261804630560327</v>
      </c>
      <c r="C125" s="9">
        <f t="shared" si="39"/>
        <v>0.055108242487055537</v>
      </c>
      <c r="D125" s="9">
        <f t="shared" si="39"/>
        <v>0.03222372101791887</v>
      </c>
      <c r="E125" s="9">
        <f t="shared" si="39"/>
        <v>0.02960964169136765</v>
      </c>
      <c r="F125" s="9">
        <f t="shared" si="39"/>
        <v>0.026257403531212475</v>
      </c>
      <c r="G125" s="9">
        <f t="shared" si="39"/>
        <v>0.022437073380623895</v>
      </c>
      <c r="H125" s="9">
        <f t="shared" si="40"/>
        <v>0.022437073380623895</v>
      </c>
      <c r="I125" s="9"/>
      <c r="J125" s="9">
        <f t="shared" si="41"/>
        <v>0.039708388866840416</v>
      </c>
      <c r="K125" s="9">
        <f t="shared" si="41"/>
        <v>0.01182286543523331</v>
      </c>
    </row>
    <row r="126" spans="1:11" ht="15">
      <c r="A126" t="s">
        <v>8</v>
      </c>
      <c r="B126" s="9">
        <f t="shared" si="39"/>
        <v>0.07358673241127539</v>
      </c>
      <c r="C126" s="9">
        <f t="shared" si="39"/>
        <v>0.06288468915329198</v>
      </c>
      <c r="D126" s="9">
        <f t="shared" si="39"/>
        <v>0.03909173293992413</v>
      </c>
      <c r="E126" s="9">
        <f t="shared" si="39"/>
        <v>0.03581243624867586</v>
      </c>
      <c r="F126" s="9">
        <f t="shared" si="39"/>
        <v>0.032471116015112156</v>
      </c>
      <c r="G126" s="9">
        <f t="shared" si="39"/>
        <v>0.030302491005565202</v>
      </c>
      <c r="H126" s="9">
        <f t="shared" si="40"/>
        <v>0.030302491005565202</v>
      </c>
      <c r="I126" s="9"/>
      <c r="J126" s="9">
        <f t="shared" si="41"/>
        <v>0.022363247200017755</v>
      </c>
      <c r="K126" s="9">
        <f t="shared" si="41"/>
        <v>0.018348231951896</v>
      </c>
    </row>
    <row r="127" spans="1:11" ht="15">
      <c r="A127" t="s">
        <v>9</v>
      </c>
      <c r="B127" s="9">
        <f t="shared" si="39"/>
        <v>0.06600010566204834</v>
      </c>
      <c r="C127" s="9">
        <f t="shared" si="39"/>
        <v>0.048757083818753044</v>
      </c>
      <c r="D127" s="9">
        <f t="shared" si="39"/>
        <v>0.02459800692987707</v>
      </c>
      <c r="E127" s="9">
        <f t="shared" si="39"/>
        <v>0.02254731478272226</v>
      </c>
      <c r="F127" s="9">
        <f t="shared" si="39"/>
        <v>0.019540590258472268</v>
      </c>
      <c r="G127" s="9">
        <f t="shared" si="39"/>
        <v>0.019270456076237397</v>
      </c>
      <c r="H127" s="9">
        <f t="shared" si="40"/>
        <v>0.019270456076237397</v>
      </c>
      <c r="I127" s="9"/>
      <c r="J127" s="9">
        <f t="shared" si="41"/>
        <v>0.007233785945787663</v>
      </c>
      <c r="K127" s="9">
        <f t="shared" si="41"/>
        <v>0.009311218180883707</v>
      </c>
    </row>
    <row r="128" spans="1:11" ht="15">
      <c r="A128" t="s">
        <v>10</v>
      </c>
      <c r="B128" s="9">
        <f t="shared" si="39"/>
        <v>0.04690583885500371</v>
      </c>
      <c r="C128" s="9">
        <f t="shared" si="39"/>
        <v>0.04935880893735117</v>
      </c>
      <c r="D128" s="9">
        <f t="shared" si="39"/>
        <v>0.03566310973062842</v>
      </c>
      <c r="E128" s="9">
        <f t="shared" si="39"/>
        <v>0.02948493050439721</v>
      </c>
      <c r="F128" s="9">
        <f t="shared" si="39"/>
        <v>0.01965489674663773</v>
      </c>
      <c r="G128" s="9">
        <f t="shared" si="39"/>
        <v>0.01872506228624432</v>
      </c>
      <c r="H128" s="9">
        <f t="shared" si="40"/>
        <v>0.01872506228624432</v>
      </c>
      <c r="I128" s="9"/>
      <c r="J128" s="9">
        <f t="shared" si="41"/>
        <v>0.01838937459924056</v>
      </c>
      <c r="K128" s="9">
        <f t="shared" si="41"/>
        <v>0.010495135787180587</v>
      </c>
    </row>
    <row r="129" spans="1:11" ht="15">
      <c r="A129" t="s">
        <v>11</v>
      </c>
      <c r="B129" s="9">
        <f t="shared" si="39"/>
        <v>0.06247914915991576</v>
      </c>
      <c r="C129" s="9">
        <f t="shared" si="39"/>
        <v>0.06087802900042122</v>
      </c>
      <c r="D129" s="9">
        <f t="shared" si="39"/>
        <v>0.043238592706953904</v>
      </c>
      <c r="E129" s="9">
        <f t="shared" si="39"/>
        <v>0.039913281290298086</v>
      </c>
      <c r="F129" s="9">
        <f t="shared" si="39"/>
        <v>0.026946919129612834</v>
      </c>
      <c r="G129" s="9">
        <f t="shared" si="39"/>
        <v>0.02608237416038023</v>
      </c>
      <c r="H129" s="9">
        <f t="shared" si="40"/>
        <v>0.02608237416038023</v>
      </c>
      <c r="I129" s="9"/>
      <c r="J129" s="9">
        <f t="shared" si="41"/>
        <v>0.022699213185519984</v>
      </c>
      <c r="K129" s="9">
        <f t="shared" si="41"/>
        <v>0.018298658665326928</v>
      </c>
    </row>
    <row r="130" spans="1:11" ht="15">
      <c r="A130" t="s">
        <v>12</v>
      </c>
      <c r="B130" s="9">
        <f t="shared" si="39"/>
        <v>0.053380208792822625</v>
      </c>
      <c r="C130" s="9">
        <f t="shared" si="39"/>
        <v>0.044657393135726864</v>
      </c>
      <c r="D130" s="9">
        <f t="shared" si="39"/>
        <v>0.032804409123538714</v>
      </c>
      <c r="E130" s="9">
        <f t="shared" si="39"/>
        <v>0.02043393696377921</v>
      </c>
      <c r="F130" s="9">
        <f t="shared" si="39"/>
        <v>0.016143793170109222</v>
      </c>
      <c r="G130" s="9">
        <f t="shared" si="39"/>
        <v>0.015361604626041026</v>
      </c>
      <c r="H130" s="9">
        <f t="shared" si="40"/>
        <v>0.015361604626041026</v>
      </c>
      <c r="I130" s="9"/>
      <c r="J130" s="9">
        <f t="shared" si="41"/>
        <v>0.025359681012537216</v>
      </c>
      <c r="K130" s="9">
        <f t="shared" si="41"/>
        <v>0.008618255665377828</v>
      </c>
    </row>
    <row r="131" spans="1:11" ht="15">
      <c r="A131" t="s">
        <v>13</v>
      </c>
      <c r="B131" s="9">
        <f t="shared" si="39"/>
        <v>0.06972948632554915</v>
      </c>
      <c r="C131" s="9">
        <f t="shared" si="39"/>
        <v>0.0446887816190496</v>
      </c>
      <c r="D131" s="9">
        <f t="shared" si="39"/>
        <v>0.036030723212358506</v>
      </c>
      <c r="E131" s="9">
        <f t="shared" si="39"/>
        <v>0.030933672983476213</v>
      </c>
      <c r="F131" s="9">
        <f t="shared" si="39"/>
        <v>0.027936622663096655</v>
      </c>
      <c r="G131" s="9">
        <f t="shared" si="39"/>
        <v>0.024521208007875217</v>
      </c>
      <c r="H131" s="9">
        <f t="shared" si="40"/>
        <v>0.024521208007875217</v>
      </c>
      <c r="I131" s="9"/>
      <c r="J131" s="9">
        <f t="shared" si="41"/>
        <v>0.032252187622569706</v>
      </c>
      <c r="K131" s="9">
        <f t="shared" si="41"/>
        <v>0.0141097632811083</v>
      </c>
    </row>
    <row r="132" spans="1:11" ht="15">
      <c r="A132" t="s">
        <v>14</v>
      </c>
      <c r="B132" s="9">
        <f t="shared" si="39"/>
        <v>0.0856582226553842</v>
      </c>
      <c r="C132" s="9">
        <f t="shared" si="39"/>
        <v>0.05385511413405136</v>
      </c>
      <c r="D132" s="9">
        <f t="shared" si="39"/>
        <v>0.03141256048864888</v>
      </c>
      <c r="E132" s="9">
        <f t="shared" si="39"/>
        <v>0.028729724366265474</v>
      </c>
      <c r="F132" s="9">
        <f t="shared" si="39"/>
        <v>0.025233734337307745</v>
      </c>
      <c r="G132" s="9">
        <f t="shared" si="39"/>
        <v>0.019983868497539803</v>
      </c>
      <c r="H132" s="9">
        <f t="shared" si="40"/>
        <v>0.019983868497539803</v>
      </c>
      <c r="I132" s="9"/>
      <c r="J132" s="9">
        <f t="shared" si="41"/>
        <v>0.05279705279769026</v>
      </c>
      <c r="K132" s="9">
        <f t="shared" si="41"/>
        <v>0.0059838775287948676</v>
      </c>
    </row>
    <row r="133" spans="1:11" ht="15">
      <c r="A133" t="s">
        <v>15</v>
      </c>
      <c r="B133" s="9">
        <f t="shared" si="39"/>
        <v>0.11328594585678481</v>
      </c>
      <c r="C133" s="9">
        <f t="shared" si="39"/>
        <v>0.0689471551535828</v>
      </c>
      <c r="D133" s="9">
        <f t="shared" si="39"/>
        <v>0.052187811228501524</v>
      </c>
      <c r="E133" s="9">
        <f t="shared" si="39"/>
        <v>0.04473313064976808</v>
      </c>
      <c r="F133" s="9">
        <f t="shared" si="39"/>
        <v>0.03870427709714647</v>
      </c>
      <c r="G133" s="9">
        <f t="shared" si="39"/>
        <v>0.034866568983548174</v>
      </c>
      <c r="H133" s="9">
        <f t="shared" si="40"/>
        <v>0.034866568983548174</v>
      </c>
      <c r="I133" s="9"/>
      <c r="J133" s="9">
        <f t="shared" si="41"/>
        <v>0.09187547380640099</v>
      </c>
      <c r="K133" s="9">
        <f t="shared" si="41"/>
        <v>0.02379444803465175</v>
      </c>
    </row>
    <row r="134" spans="1:11" ht="15">
      <c r="A134" t="s">
        <v>24</v>
      </c>
      <c r="B134" s="9">
        <f t="shared" si="39"/>
        <v>8.196366768480503</v>
      </c>
      <c r="C134" s="9">
        <f t="shared" si="39"/>
        <v>10.665550740204392</v>
      </c>
      <c r="D134" s="9">
        <f t="shared" si="39"/>
        <v>11.168239835492457</v>
      </c>
      <c r="E134" s="9">
        <f t="shared" si="39"/>
        <v>12.692314139381729</v>
      </c>
      <c r="F134" s="9">
        <f t="shared" si="39"/>
        <v>11.708802292449876</v>
      </c>
      <c r="G134" s="9">
        <f t="shared" si="39"/>
        <v>11.485581650169314</v>
      </c>
      <c r="H134" s="9">
        <f t="shared" si="40"/>
        <v>11.485581650169314</v>
      </c>
      <c r="I134" s="9"/>
      <c r="J134" s="9">
        <f t="shared" si="41"/>
        <v>3.928591411259522</v>
      </c>
      <c r="K134" s="9">
        <f t="shared" si="41"/>
        <v>11.747539182769652</v>
      </c>
    </row>
    <row r="136" ht="15.75">
      <c r="A136" s="6" t="s">
        <v>225</v>
      </c>
    </row>
    <row r="138" spans="1:12" ht="15">
      <c r="A138" t="s">
        <v>4</v>
      </c>
      <c r="B138" s="2">
        <v>1013127.7926710282</v>
      </c>
      <c r="C138" s="2">
        <v>54405.57753131006</v>
      </c>
      <c r="D138" s="2">
        <v>487817.32007595093</v>
      </c>
      <c r="E138" s="2">
        <v>57462.59162608764</v>
      </c>
      <c r="F138" s="2">
        <v>44935.75511407069</v>
      </c>
      <c r="G138" s="2">
        <v>85128.79059248113</v>
      </c>
      <c r="H138" s="2">
        <v>104606.33031342902</v>
      </c>
      <c r="I138" s="2">
        <f>K138*0.66</f>
        <v>69040.17800686315</v>
      </c>
      <c r="J138" s="2">
        <v>22108.104499116565</v>
      </c>
      <c r="K138" s="2">
        <v>104606.33031342902</v>
      </c>
      <c r="L138" s="2"/>
    </row>
    <row r="139" spans="1:12" ht="15">
      <c r="A139" t="s">
        <v>5</v>
      </c>
      <c r="B139" s="2">
        <v>1036540.3336944012</v>
      </c>
      <c r="C139" s="2">
        <v>57717.42934830472</v>
      </c>
      <c r="D139" s="2">
        <v>477307.18851932423</v>
      </c>
      <c r="E139" s="2">
        <v>58667.24064682752</v>
      </c>
      <c r="F139" s="2">
        <v>43612.77662416612</v>
      </c>
      <c r="G139" s="2">
        <v>77859.01955172836</v>
      </c>
      <c r="H139" s="2">
        <v>106700.23146209108</v>
      </c>
      <c r="I139" s="2">
        <f aca="true" t="shared" si="42" ref="I139:I149">K139*0.66</f>
        <v>70422.15276498011</v>
      </c>
      <c r="J139" s="2">
        <v>22097.354463885928</v>
      </c>
      <c r="K139" s="2">
        <v>106700.23146209108</v>
      </c>
      <c r="L139" s="2"/>
    </row>
    <row r="140" spans="1:12" ht="15">
      <c r="A140" t="s">
        <v>6</v>
      </c>
      <c r="B140" s="2">
        <v>887289.345451744</v>
      </c>
      <c r="C140" s="2">
        <v>50502.05938646307</v>
      </c>
      <c r="D140" s="2">
        <v>427739.31524834846</v>
      </c>
      <c r="E140" s="2">
        <v>58107.80516193307</v>
      </c>
      <c r="F140" s="2">
        <v>38591.455046447685</v>
      </c>
      <c r="G140" s="2">
        <v>72921.37237415805</v>
      </c>
      <c r="H140" s="2">
        <v>98183.5492300589</v>
      </c>
      <c r="I140" s="2">
        <f t="shared" si="42"/>
        <v>64801.14249183887</v>
      </c>
      <c r="J140" s="2">
        <v>22109.73329233333</v>
      </c>
      <c r="K140" s="2">
        <v>98183.5492300589</v>
      </c>
      <c r="L140" s="2"/>
    </row>
    <row r="141" spans="1:12" ht="15">
      <c r="A141" t="s">
        <v>7</v>
      </c>
      <c r="B141" s="2">
        <v>787515.7952760486</v>
      </c>
      <c r="C141" s="2">
        <v>44407.576690355236</v>
      </c>
      <c r="D141" s="2">
        <v>383448.26582685695</v>
      </c>
      <c r="E141" s="2">
        <v>55152.155961866614</v>
      </c>
      <c r="F141" s="2">
        <v>39766.821384955685</v>
      </c>
      <c r="G141" s="2">
        <v>76347.57377791236</v>
      </c>
      <c r="H141" s="2">
        <v>104775.19506270892</v>
      </c>
      <c r="I141" s="2">
        <f t="shared" si="42"/>
        <v>69151.62874138789</v>
      </c>
      <c r="J141" s="2">
        <v>22109.977611315844</v>
      </c>
      <c r="K141" s="2">
        <v>104775.19506270892</v>
      </c>
      <c r="L141" s="2"/>
    </row>
    <row r="142" spans="1:12" ht="15">
      <c r="A142" t="s">
        <v>8</v>
      </c>
      <c r="B142" s="2">
        <v>673187.4192217813</v>
      </c>
      <c r="C142" s="2">
        <v>39718.94900523233</v>
      </c>
      <c r="D142" s="2">
        <v>360986.3517041839</v>
      </c>
      <c r="E142" s="2">
        <v>59126.92405056158</v>
      </c>
      <c r="F142" s="2">
        <v>41937.69352272853</v>
      </c>
      <c r="G142" s="2">
        <v>77834.00283233768</v>
      </c>
      <c r="H142" s="2">
        <v>97457.20623541868</v>
      </c>
      <c r="I142" s="2">
        <f t="shared" si="42"/>
        <v>64321.75611537633</v>
      </c>
      <c r="J142" s="2">
        <v>22109.326094029144</v>
      </c>
      <c r="K142" s="2">
        <v>97457.20623541868</v>
      </c>
      <c r="L142" s="2"/>
    </row>
    <row r="143" spans="1:12" ht="15">
      <c r="A143" t="s">
        <v>9</v>
      </c>
      <c r="B143" s="2">
        <v>665640.159119746</v>
      </c>
      <c r="C143" s="2">
        <v>40229.52584784483</v>
      </c>
      <c r="D143" s="2">
        <v>387816.4547303244</v>
      </c>
      <c r="E143" s="2">
        <v>60712.28991301212</v>
      </c>
      <c r="F143" s="2">
        <v>45323.77817879191</v>
      </c>
      <c r="G143" s="2">
        <v>80855.15330283574</v>
      </c>
      <c r="H143" s="2">
        <v>107129.50082524683</v>
      </c>
      <c r="I143" s="2">
        <f t="shared" si="42"/>
        <v>70705.47054466291</v>
      </c>
      <c r="J143" s="2">
        <v>22109.488973350813</v>
      </c>
      <c r="K143" s="2">
        <v>107129.50082524683</v>
      </c>
      <c r="L143" s="2"/>
    </row>
    <row r="144" spans="1:12" ht="15">
      <c r="A144" t="s">
        <v>10</v>
      </c>
      <c r="B144" s="2">
        <v>580449.0846140722</v>
      </c>
      <c r="C144" s="2">
        <v>38795.60337290967</v>
      </c>
      <c r="D144" s="2">
        <v>398917.7745028843</v>
      </c>
      <c r="E144" s="2">
        <v>64855.297006908106</v>
      </c>
      <c r="F144" s="2">
        <v>45991.34008774471</v>
      </c>
      <c r="G144" s="2">
        <v>82658.12376070725</v>
      </c>
      <c r="H144" s="2">
        <v>109212.45109163178</v>
      </c>
      <c r="I144" s="2">
        <f t="shared" si="42"/>
        <v>72080.21772047698</v>
      </c>
      <c r="J144" s="2">
        <v>22107.941619794892</v>
      </c>
      <c r="K144" s="2">
        <v>109212.45109163178</v>
      </c>
      <c r="L144" s="2"/>
    </row>
    <row r="145" spans="1:12" ht="15">
      <c r="A145" t="s">
        <v>11</v>
      </c>
      <c r="B145" s="2">
        <v>583792.5927581058</v>
      </c>
      <c r="C145" s="2">
        <v>41234.1618296342</v>
      </c>
      <c r="D145" s="2">
        <v>422127.47165661113</v>
      </c>
      <c r="E145" s="2">
        <v>69710.85382343897</v>
      </c>
      <c r="F145" s="2">
        <v>47972.78718418793</v>
      </c>
      <c r="G145" s="2">
        <v>81055.89774649004</v>
      </c>
      <c r="H145" s="2">
        <v>112810.05262325786</v>
      </c>
      <c r="I145" s="2">
        <f t="shared" si="42"/>
        <v>74454.63473135019</v>
      </c>
      <c r="J145" s="2">
        <v>22109.570413011657</v>
      </c>
      <c r="K145" s="2">
        <v>112810.05262325786</v>
      </c>
      <c r="L145" s="2"/>
    </row>
    <row r="146" spans="1:12" ht="15">
      <c r="A146" t="s">
        <v>12</v>
      </c>
      <c r="B146" s="2">
        <v>552662.1360798413</v>
      </c>
      <c r="C146" s="2">
        <v>37876.14013179052</v>
      </c>
      <c r="D146" s="2">
        <v>434598.69078848534</v>
      </c>
      <c r="E146" s="2">
        <v>70884.83935411593</v>
      </c>
      <c r="F146" s="2">
        <v>45821.08524078346</v>
      </c>
      <c r="G146" s="2">
        <v>83798.45302484061</v>
      </c>
      <c r="H146" s="2">
        <v>119332.7717689909</v>
      </c>
      <c r="I146" s="2">
        <f t="shared" si="42"/>
        <v>78759.629367534</v>
      </c>
      <c r="J146" s="2">
        <v>22110.38480962004</v>
      </c>
      <c r="K146" s="2">
        <v>119332.7717689909</v>
      </c>
      <c r="L146" s="2"/>
    </row>
    <row r="147" spans="1:12" ht="15">
      <c r="A147" t="s">
        <v>13</v>
      </c>
      <c r="B147" s="2">
        <v>666350.3476629327</v>
      </c>
      <c r="C147" s="2">
        <v>38804.54069709328</v>
      </c>
      <c r="D147" s="2">
        <v>409155.49248410354</v>
      </c>
      <c r="E147" s="2">
        <v>67430.58872615013</v>
      </c>
      <c r="F147" s="2">
        <v>42759.48492624811</v>
      </c>
      <c r="G147" s="2">
        <v>78874.71173293398</v>
      </c>
      <c r="H147" s="2">
        <v>102758.82852470371</v>
      </c>
      <c r="I147" s="2">
        <f t="shared" si="42"/>
        <v>67820.82682630446</v>
      </c>
      <c r="J147" s="2">
        <v>22111.932163175963</v>
      </c>
      <c r="K147" s="2">
        <v>102758.82852470371</v>
      </c>
      <c r="L147" s="2"/>
    </row>
    <row r="148" spans="1:12" ht="15">
      <c r="A148" t="s">
        <v>14</v>
      </c>
      <c r="B148" s="2">
        <v>776137.776336983</v>
      </c>
      <c r="C148" s="2">
        <v>45312.422725352066</v>
      </c>
      <c r="D148" s="2">
        <v>399990.8269052404</v>
      </c>
      <c r="E148" s="2">
        <v>58137.01573645502</v>
      </c>
      <c r="F148" s="2">
        <v>43297.75822675753</v>
      </c>
      <c r="G148" s="2">
        <v>78808.10089073925</v>
      </c>
      <c r="H148" s="2">
        <v>106886.59084406582</v>
      </c>
      <c r="I148" s="2">
        <f t="shared" si="42"/>
        <v>70545.14995708344</v>
      </c>
      <c r="J148" s="2">
        <v>22111.850723515123</v>
      </c>
      <c r="K148" s="2">
        <v>106886.59084406582</v>
      </c>
      <c r="L148" s="2"/>
    </row>
    <row r="149" spans="1:12" ht="17.25">
      <c r="A149" t="s">
        <v>15</v>
      </c>
      <c r="B149" s="5">
        <v>965934.0798156898</v>
      </c>
      <c r="C149" s="5">
        <v>58446.91339245389</v>
      </c>
      <c r="D149" s="5">
        <v>451524.06882473524</v>
      </c>
      <c r="E149" s="5">
        <v>60007.39914959155</v>
      </c>
      <c r="F149" s="5">
        <v>47270.95067324553</v>
      </c>
      <c r="G149" s="5">
        <v>87602.45851037482</v>
      </c>
      <c r="H149" s="5">
        <v>111830.47206124291</v>
      </c>
      <c r="I149" s="5">
        <f t="shared" si="42"/>
        <v>73808.11156042032</v>
      </c>
      <c r="J149" s="5">
        <v>22112.990878766857</v>
      </c>
      <c r="K149" s="5">
        <v>111830.47206124291</v>
      </c>
      <c r="L149" s="5"/>
    </row>
    <row r="150" spans="1:12" ht="15">
      <c r="A150" t="s">
        <v>24</v>
      </c>
      <c r="B150" s="4">
        <f>MAX(B138:B149)</f>
        <v>1036540.3336944012</v>
      </c>
      <c r="C150" s="4">
        <f aca="true" t="shared" si="43" ref="C150:K150">MAX(C138:C149)</f>
        <v>58446.91339245389</v>
      </c>
      <c r="D150" s="4">
        <f t="shared" si="43"/>
        <v>487817.32007595093</v>
      </c>
      <c r="E150" s="4">
        <f t="shared" si="43"/>
        <v>70884.83935411593</v>
      </c>
      <c r="F150" s="4">
        <f t="shared" si="43"/>
        <v>47972.78718418793</v>
      </c>
      <c r="G150" s="4">
        <f t="shared" si="43"/>
        <v>87602.45851037482</v>
      </c>
      <c r="H150" s="4">
        <f t="shared" si="43"/>
        <v>119332.7717689909</v>
      </c>
      <c r="I150" s="4">
        <f t="shared" si="43"/>
        <v>78759.629367534</v>
      </c>
      <c r="J150" s="4">
        <f t="shared" si="43"/>
        <v>22112.990878766857</v>
      </c>
      <c r="K150" s="4">
        <f t="shared" si="43"/>
        <v>119332.7717689909</v>
      </c>
      <c r="L150" s="4"/>
    </row>
    <row r="152" ht="15.75">
      <c r="A152" s="6" t="s">
        <v>261</v>
      </c>
    </row>
    <row r="154" spans="1:11" ht="15">
      <c r="A154" t="s">
        <v>4</v>
      </c>
      <c r="B154" s="9">
        <f>IF(B90/B138&gt;1,1,B90/B138)</f>
        <v>0.9606274749772227</v>
      </c>
      <c r="C154" s="9">
        <f aca="true" t="shared" si="44" ref="C154:K154">IF(C90/C138&gt;1,1,C90/C138)</f>
        <v>0.7221164086711708</v>
      </c>
      <c r="D154" s="9">
        <f t="shared" si="44"/>
        <v>0.9288527779343224</v>
      </c>
      <c r="E154" s="9">
        <f t="shared" si="44"/>
        <v>0.8690960486389204</v>
      </c>
      <c r="F154" s="9">
        <f t="shared" si="44"/>
        <v>0.8711527004991473</v>
      </c>
      <c r="G154" s="9">
        <f t="shared" si="44"/>
        <v>0.8426922401566005</v>
      </c>
      <c r="H154" s="9">
        <f t="shared" si="44"/>
        <v>0.9034780991985314</v>
      </c>
      <c r="I154" s="9">
        <f t="shared" si="44"/>
        <v>0.9219594159921156</v>
      </c>
      <c r="J154" s="9">
        <f t="shared" si="44"/>
        <v>0.7854899105220055</v>
      </c>
      <c r="K154" s="9">
        <f t="shared" si="44"/>
        <v>0.9087573551009835</v>
      </c>
    </row>
    <row r="155" spans="1:11" ht="15">
      <c r="A155" t="s">
        <v>5</v>
      </c>
      <c r="B155" s="9">
        <f aca="true" t="shared" si="45" ref="B155:K155">IF(B91/B139&gt;1,1,B91/B139)</f>
        <v>0.9877242070876866</v>
      </c>
      <c r="C155" s="9">
        <f t="shared" si="45"/>
        <v>0.6403423964645821</v>
      </c>
      <c r="D155" s="9">
        <f t="shared" si="45"/>
        <v>0.8453108217239137</v>
      </c>
      <c r="E155" s="9">
        <f t="shared" si="45"/>
        <v>0.8474965215897189</v>
      </c>
      <c r="F155" s="9">
        <f t="shared" si="45"/>
        <v>0.8442333428051031</v>
      </c>
      <c r="G155" s="9">
        <f t="shared" si="45"/>
        <v>0.8915440669920791</v>
      </c>
      <c r="H155" s="9">
        <f t="shared" si="45"/>
        <v>0.9190313647952031</v>
      </c>
      <c r="I155" s="9">
        <f t="shared" si="45"/>
        <v>0.9402872822726208</v>
      </c>
      <c r="J155" s="9">
        <f t="shared" si="45"/>
        <v>1</v>
      </c>
      <c r="K155" s="9">
        <f t="shared" si="45"/>
        <v>0.9304075974445225</v>
      </c>
    </row>
    <row r="156" spans="1:11" ht="15">
      <c r="A156" t="s">
        <v>6</v>
      </c>
      <c r="B156" s="9">
        <f aca="true" t="shared" si="46" ref="B156:K156">IF(B92/B140&gt;1,1,B92/B140)</f>
        <v>0.9192812571950734</v>
      </c>
      <c r="C156" s="9">
        <f t="shared" si="46"/>
        <v>0.78682295966966</v>
      </c>
      <c r="D156" s="9">
        <f t="shared" si="46"/>
        <v>0.9785295942881932</v>
      </c>
      <c r="E156" s="9">
        <f t="shared" si="46"/>
        <v>0.8798970617281511</v>
      </c>
      <c r="F156" s="9">
        <f t="shared" si="46"/>
        <v>0.9557944526910288</v>
      </c>
      <c r="G156" s="9">
        <f t="shared" si="46"/>
        <v>0.8586717964738578</v>
      </c>
      <c r="H156" s="9">
        <f t="shared" si="46"/>
        <v>0.9115053886110022</v>
      </c>
      <c r="I156" s="9">
        <f t="shared" si="46"/>
        <v>0.9355417026132647</v>
      </c>
      <c r="J156" s="9">
        <f t="shared" si="46"/>
        <v>0.11297636761022568</v>
      </c>
      <c r="K156" s="9">
        <f t="shared" si="46"/>
        <v>0.9228118244302991</v>
      </c>
    </row>
    <row r="157" spans="1:11" ht="15">
      <c r="A157" t="s">
        <v>7</v>
      </c>
      <c r="B157" s="9">
        <f aca="true" t="shared" si="47" ref="B157:K157">IF(B93/B141&gt;1,1,B93/B141)</f>
        <v>0.9437259171924685</v>
      </c>
      <c r="C157" s="9">
        <f t="shared" si="47"/>
        <v>0.507751129760722</v>
      </c>
      <c r="D157" s="9">
        <f t="shared" si="47"/>
        <v>0.877856334437118</v>
      </c>
      <c r="E157" s="9">
        <f t="shared" si="47"/>
        <v>0.8168652212893673</v>
      </c>
      <c r="F157" s="9">
        <f t="shared" si="47"/>
        <v>0.800976411574876</v>
      </c>
      <c r="G157" s="9">
        <f t="shared" si="47"/>
        <v>0.8142238277048137</v>
      </c>
      <c r="H157" s="9">
        <f t="shared" si="47"/>
        <v>0.8854115325636746</v>
      </c>
      <c r="I157" s="9">
        <f t="shared" si="47"/>
        <v>0.9046623274467429</v>
      </c>
      <c r="J157" s="9">
        <f t="shared" si="47"/>
        <v>0.12255508641649294</v>
      </c>
      <c r="K157" s="9">
        <f t="shared" si="47"/>
        <v>0.8944152684904525</v>
      </c>
    </row>
    <row r="158" spans="1:11" ht="15">
      <c r="A158" t="s">
        <v>8</v>
      </c>
      <c r="B158" s="9">
        <f aca="true" t="shared" si="48" ref="B158:K158">IF(B94/B142&gt;1,1,B94/B142)</f>
        <v>0.8757975182480185</v>
      </c>
      <c r="C158" s="9">
        <f t="shared" si="48"/>
        <v>0.80986574630074</v>
      </c>
      <c r="D158" s="9">
        <f t="shared" si="48"/>
        <v>0.9515506424044441</v>
      </c>
      <c r="E158" s="9">
        <f t="shared" si="48"/>
        <v>0.8987207286878928</v>
      </c>
      <c r="F158" s="9">
        <f t="shared" si="48"/>
        <v>0.9665335394051148</v>
      </c>
      <c r="G158" s="9">
        <f t="shared" si="48"/>
        <v>0.8603863019063897</v>
      </c>
      <c r="H158" s="9">
        <f t="shared" si="48"/>
        <v>0.982372295113387</v>
      </c>
      <c r="I158" s="9">
        <f t="shared" si="48"/>
        <v>1</v>
      </c>
      <c r="J158" s="9">
        <f t="shared" si="48"/>
        <v>0.13591858263745307</v>
      </c>
      <c r="K158" s="9">
        <f t="shared" si="48"/>
        <v>0.993553333661472</v>
      </c>
    </row>
    <row r="159" spans="1:11" ht="15">
      <c r="A159" t="s">
        <v>9</v>
      </c>
      <c r="B159" s="9">
        <f aca="true" t="shared" si="49" ref="B159:K159">IF(B95/B143&gt;1,1,B95/B143)</f>
        <v>0.9294592583039948</v>
      </c>
      <c r="C159" s="9">
        <f t="shared" si="49"/>
        <v>0.6312888632481278</v>
      </c>
      <c r="D159" s="9">
        <f t="shared" si="49"/>
        <v>0.7822404719290749</v>
      </c>
      <c r="E159" s="9">
        <f t="shared" si="49"/>
        <v>0.7357558328338787</v>
      </c>
      <c r="F159" s="9">
        <f t="shared" si="49"/>
        <v>0.7102004169404248</v>
      </c>
      <c r="G159" s="9">
        <f t="shared" si="49"/>
        <v>0.8067882298041924</v>
      </c>
      <c r="H159" s="9">
        <f t="shared" si="49"/>
        <v>0.9315025049284659</v>
      </c>
      <c r="I159" s="9">
        <f t="shared" si="49"/>
        <v>0.948897059188044</v>
      </c>
      <c r="J159" s="9">
        <f t="shared" si="49"/>
        <v>0.1159529809119482</v>
      </c>
      <c r="K159" s="9">
        <f t="shared" si="49"/>
        <v>0.9404118630409143</v>
      </c>
    </row>
    <row r="160" spans="1:11" ht="15">
      <c r="A160" t="s">
        <v>10</v>
      </c>
      <c r="B160" s="9">
        <f aca="true" t="shared" si="50" ref="B160:K160">IF(B96/B144&gt;1,1,B96/B144)</f>
        <v>0.7550180292144439</v>
      </c>
      <c r="C160" s="9">
        <f t="shared" si="50"/>
        <v>0.9505074198647593</v>
      </c>
      <c r="D160" s="9">
        <f t="shared" si="50"/>
        <v>0.9939516424402907</v>
      </c>
      <c r="E160" s="9">
        <f t="shared" si="50"/>
        <v>0.9626590487692377</v>
      </c>
      <c r="F160" s="9">
        <f t="shared" si="50"/>
        <v>0.8896789324050691</v>
      </c>
      <c r="G160" s="9">
        <f t="shared" si="50"/>
        <v>0.8890818657301989</v>
      </c>
      <c r="H160" s="9">
        <f t="shared" si="50"/>
        <v>1</v>
      </c>
      <c r="I160" s="9">
        <f t="shared" si="50"/>
        <v>1</v>
      </c>
      <c r="J160" s="9">
        <f t="shared" si="50"/>
        <v>0.13524993470478533</v>
      </c>
      <c r="K160" s="9">
        <f t="shared" si="50"/>
        <v>1</v>
      </c>
    </row>
    <row r="161" spans="1:11" ht="15">
      <c r="A161" t="s">
        <v>11</v>
      </c>
      <c r="B161" s="9">
        <f aca="true" t="shared" si="51" ref="B161:K161">IF(B97/B145&gt;1,1,B97/B145)</f>
        <v>0.824173084864949</v>
      </c>
      <c r="C161" s="9">
        <f t="shared" si="51"/>
        <v>0.839411750116648</v>
      </c>
      <c r="D161" s="9">
        <f t="shared" si="51"/>
        <v>0.9610738218115991</v>
      </c>
      <c r="E161" s="9">
        <f t="shared" si="51"/>
        <v>0.9332129787696918</v>
      </c>
      <c r="F161" s="9">
        <f t="shared" si="51"/>
        <v>0.8239441442654867</v>
      </c>
      <c r="G161" s="9">
        <f t="shared" si="51"/>
        <v>0.8580024067990356</v>
      </c>
      <c r="H161" s="9">
        <f t="shared" si="51"/>
        <v>1</v>
      </c>
      <c r="I161" s="9">
        <f t="shared" si="51"/>
        <v>1</v>
      </c>
      <c r="J161" s="9">
        <f t="shared" si="51"/>
        <v>0.12873402483188306</v>
      </c>
      <c r="K161" s="9">
        <f t="shared" si="51"/>
        <v>1</v>
      </c>
    </row>
    <row r="162" spans="1:11" ht="15">
      <c r="A162" t="s">
        <v>12</v>
      </c>
      <c r="B162" s="9">
        <f aca="true" t="shared" si="52" ref="B162:K162">IF(B98/B146&gt;1,1,B98/B146)</f>
        <v>0.8870775395844723</v>
      </c>
      <c r="C162" s="9">
        <f t="shared" si="52"/>
        <v>0.8673853347840771</v>
      </c>
      <c r="D162" s="9">
        <f t="shared" si="52"/>
        <v>0.9560568645085351</v>
      </c>
      <c r="E162" s="9">
        <f t="shared" si="52"/>
        <v>0.9340176874777532</v>
      </c>
      <c r="F162" s="9">
        <f t="shared" si="52"/>
        <v>0.8216975273556613</v>
      </c>
      <c r="G162" s="9">
        <f t="shared" si="52"/>
        <v>0.8352656377848077</v>
      </c>
      <c r="H162" s="9">
        <f t="shared" si="52"/>
        <v>0.9522800003844707</v>
      </c>
      <c r="I162" s="9">
        <f t="shared" si="52"/>
        <v>0.966455505090567</v>
      </c>
      <c r="J162" s="9">
        <f t="shared" si="52"/>
        <v>0.12212576120593714</v>
      </c>
      <c r="K162" s="9">
        <f t="shared" si="52"/>
        <v>0.9584511446330715</v>
      </c>
    </row>
    <row r="163" spans="1:11" ht="15">
      <c r="A163" t="s">
        <v>13</v>
      </c>
      <c r="B163" s="9">
        <f aca="true" t="shared" si="53" ref="B163:K163">IF(B99/B147&gt;1,1,B99/B147)</f>
        <v>0.8953146653090832</v>
      </c>
      <c r="C163" s="9">
        <f t="shared" si="53"/>
        <v>0.7444856101804208</v>
      </c>
      <c r="D163" s="9">
        <f t="shared" si="53"/>
        <v>0.8720483087196336</v>
      </c>
      <c r="E163" s="9">
        <f t="shared" si="53"/>
        <v>0.7836756183939526</v>
      </c>
      <c r="F163" s="9">
        <f t="shared" si="53"/>
        <v>0.9456039059963001</v>
      </c>
      <c r="G163" s="9">
        <f t="shared" si="53"/>
        <v>0.894554939774902</v>
      </c>
      <c r="H163" s="9">
        <f t="shared" si="53"/>
        <v>0.9921527720915485</v>
      </c>
      <c r="I163" s="9">
        <f t="shared" si="53"/>
        <v>1</v>
      </c>
      <c r="J163" s="9">
        <f t="shared" si="53"/>
        <v>0.10328481893003534</v>
      </c>
      <c r="K163" s="9">
        <f t="shared" si="53"/>
        <v>1</v>
      </c>
    </row>
    <row r="164" spans="1:11" ht="15">
      <c r="A164" t="s">
        <v>14</v>
      </c>
      <c r="B164" s="9">
        <f aca="true" t="shared" si="54" ref="B164:K164">IF(B100/B148&gt;1,1,B100/B148)</f>
        <v>0.9865821306459974</v>
      </c>
      <c r="C164" s="9">
        <f t="shared" si="54"/>
        <v>0.6790476441370908</v>
      </c>
      <c r="D164" s="9">
        <f t="shared" si="54"/>
        <v>0.8932399500317371</v>
      </c>
      <c r="E164" s="9">
        <f t="shared" si="54"/>
        <v>0.8571342601448285</v>
      </c>
      <c r="F164" s="9">
        <f t="shared" si="54"/>
        <v>0.7695543446417411</v>
      </c>
      <c r="G164" s="9">
        <f t="shared" si="54"/>
        <v>0.8798684016587952</v>
      </c>
      <c r="H164" s="9">
        <f t="shared" si="54"/>
        <v>0.7804478961915301</v>
      </c>
      <c r="I164" s="9">
        <f t="shared" si="54"/>
        <v>0.7955612469350481</v>
      </c>
      <c r="J164" s="9">
        <f t="shared" si="54"/>
        <v>0.7426055059746357</v>
      </c>
      <c r="K164" s="9">
        <f t="shared" si="54"/>
        <v>0.7909747343289256</v>
      </c>
    </row>
    <row r="165" spans="1:11" ht="15">
      <c r="A165" t="s">
        <v>15</v>
      </c>
      <c r="B165" s="231">
        <f aca="true" t="shared" si="55" ref="B165:K165">IF(B101/B149&gt;1,1,B101/B149)</f>
        <v>0.9489308268730173</v>
      </c>
      <c r="C165" s="231">
        <f t="shared" si="55"/>
        <v>0.6201957285554144</v>
      </c>
      <c r="D165" s="231">
        <f t="shared" si="55"/>
        <v>0.9053169791786663</v>
      </c>
      <c r="E165" s="231">
        <f t="shared" si="55"/>
        <v>0.8537521594963127</v>
      </c>
      <c r="F165" s="231">
        <f t="shared" si="55"/>
        <v>0.715776195100579</v>
      </c>
      <c r="G165" s="231">
        <f t="shared" si="55"/>
        <v>0.8228483723367908</v>
      </c>
      <c r="H165" s="231">
        <f t="shared" si="55"/>
        <v>0.9656316762518999</v>
      </c>
      <c r="I165" s="231">
        <f t="shared" si="55"/>
        <v>0.9982572382002711</v>
      </c>
      <c r="J165" s="231">
        <f t="shared" si="55"/>
        <v>1</v>
      </c>
      <c r="K165" s="231">
        <f t="shared" si="55"/>
        <v>0.9757586468625729</v>
      </c>
    </row>
    <row r="166" spans="1:11" ht="15">
      <c r="A166" t="s">
        <v>24</v>
      </c>
      <c r="B166" s="9">
        <f aca="true" t="shared" si="56" ref="B166:K166">B102/B150</f>
        <v>0.9877242070876866</v>
      </c>
      <c r="C166" s="9">
        <f t="shared" si="56"/>
        <v>0.6323501940727024</v>
      </c>
      <c r="D166" s="9">
        <f t="shared" si="56"/>
        <v>0.8270984139701766</v>
      </c>
      <c r="E166" s="9">
        <f t="shared" si="56"/>
        <v>0.7014233626328489</v>
      </c>
      <c r="F166" s="9">
        <f t="shared" si="56"/>
        <v>0.767505128627754</v>
      </c>
      <c r="G166" s="9">
        <f t="shared" si="56"/>
        <v>0.7923835486300063</v>
      </c>
      <c r="H166" s="9">
        <f t="shared" si="56"/>
        <v>0.8217429117828564</v>
      </c>
      <c r="I166" s="9">
        <f t="shared" si="56"/>
        <v>0.840748682629863</v>
      </c>
      <c r="J166" s="9">
        <f t="shared" si="56"/>
        <v>1.0005653377469979</v>
      </c>
      <c r="K166" s="9">
        <f t="shared" si="56"/>
        <v>0.8319148590095478</v>
      </c>
    </row>
    <row r="167" ht="15">
      <c r="L167" s="4"/>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L135"/>
  <sheetViews>
    <sheetView zoomScalePageLayoutView="0" workbookViewId="0" topLeftCell="A1">
      <pane xSplit="2" ySplit="6" topLeftCell="C7" activePane="bottomRight" state="frozen"/>
      <selection pane="topLeft" activeCell="A1" sqref="A1"/>
      <selection pane="topRight" activeCell="D1" sqref="D1"/>
      <selection pane="bottomLeft" activeCell="A4" sqref="A4"/>
      <selection pane="bottomRight" activeCell="C7" sqref="C7"/>
    </sheetView>
  </sheetViews>
  <sheetFormatPr defaultColWidth="8.88671875" defaultRowHeight="15"/>
  <cols>
    <col min="1" max="1" width="11.6640625" style="0" customWidth="1"/>
    <col min="3" max="3" width="10.99609375" style="0" bestFit="1" customWidth="1"/>
    <col min="4" max="4" width="9.99609375" style="0" bestFit="1" customWidth="1"/>
    <col min="5" max="6" width="10.99609375" style="0" bestFit="1" customWidth="1"/>
    <col min="7" max="8" width="9.99609375" style="0" bestFit="1" customWidth="1"/>
    <col min="9" max="9" width="11.99609375" style="0" bestFit="1" customWidth="1"/>
    <col min="10" max="10" width="10.99609375" style="0" bestFit="1" customWidth="1"/>
    <col min="11" max="12" width="9.99609375" style="0" bestFit="1" customWidth="1"/>
  </cols>
  <sheetData>
    <row r="1" spans="1:10" ht="20.25">
      <c r="A1" s="49" t="s">
        <v>198</v>
      </c>
      <c r="J1">
        <v>0.8</v>
      </c>
    </row>
    <row r="2" spans="3:12" ht="15">
      <c r="C2" s="211"/>
      <c r="D2" s="211"/>
      <c r="E2" s="211"/>
      <c r="F2" s="211"/>
      <c r="G2" s="211"/>
      <c r="H2" s="211"/>
      <c r="I2" s="211"/>
      <c r="J2" s="211"/>
      <c r="K2" s="211"/>
      <c r="L2" s="211"/>
    </row>
    <row r="3" spans="1:12" ht="15">
      <c r="A3" s="194"/>
      <c r="B3" s="194"/>
      <c r="C3" s="252"/>
      <c r="D3" s="252"/>
      <c r="E3" s="252"/>
      <c r="F3" s="252"/>
      <c r="G3" s="252"/>
      <c r="H3" s="252"/>
      <c r="I3" s="252"/>
      <c r="J3" s="252"/>
      <c r="K3" s="252"/>
      <c r="L3" s="211"/>
    </row>
    <row r="4" spans="1:12" ht="15.75">
      <c r="A4" s="248"/>
      <c r="B4" s="251"/>
      <c r="C4" s="212"/>
      <c r="D4" s="212"/>
      <c r="E4" s="212"/>
      <c r="F4" s="212"/>
      <c r="G4" s="212"/>
      <c r="H4" s="212"/>
      <c r="I4" s="212"/>
      <c r="J4" s="212"/>
      <c r="K4" s="212"/>
      <c r="L4" s="212"/>
    </row>
    <row r="5" spans="1:12" ht="45">
      <c r="A5" s="73"/>
      <c r="C5" s="3" t="s">
        <v>0</v>
      </c>
      <c r="D5" s="3" t="s">
        <v>16</v>
      </c>
      <c r="E5" s="3" t="s">
        <v>1</v>
      </c>
      <c r="F5" s="3" t="s">
        <v>17</v>
      </c>
      <c r="G5" s="3" t="s">
        <v>18</v>
      </c>
      <c r="H5" s="3" t="s">
        <v>19</v>
      </c>
      <c r="I5" s="3" t="s">
        <v>20</v>
      </c>
      <c r="J5" s="3" t="s">
        <v>20</v>
      </c>
      <c r="K5" s="3" t="s">
        <v>21</v>
      </c>
      <c r="L5" s="3"/>
    </row>
    <row r="6" spans="1:12" ht="30">
      <c r="A6" s="251"/>
      <c r="C6" s="3"/>
      <c r="D6" s="3"/>
      <c r="E6" s="3"/>
      <c r="F6" s="3"/>
      <c r="G6" s="3"/>
      <c r="H6" s="3"/>
      <c r="I6" s="3" t="s">
        <v>22</v>
      </c>
      <c r="J6" s="3" t="s">
        <v>23</v>
      </c>
      <c r="K6" s="3"/>
      <c r="L6" t="s">
        <v>24</v>
      </c>
    </row>
    <row r="7" spans="3:11" ht="15">
      <c r="C7" s="213"/>
      <c r="D7" s="213"/>
      <c r="E7" s="213"/>
      <c r="F7" s="213"/>
      <c r="G7" s="213"/>
      <c r="H7" s="213"/>
      <c r="I7" s="213"/>
      <c r="J7" s="213"/>
      <c r="K7" s="213"/>
    </row>
    <row r="8" spans="3:11" ht="15">
      <c r="C8" s="213"/>
      <c r="D8" s="213"/>
      <c r="E8" s="213"/>
      <c r="F8" s="213"/>
      <c r="G8" s="213"/>
      <c r="H8" s="213"/>
      <c r="I8" s="213"/>
      <c r="J8" s="213"/>
      <c r="K8" s="213"/>
    </row>
    <row r="9" spans="1:11" ht="15.75">
      <c r="A9" s="7" t="s">
        <v>177</v>
      </c>
      <c r="B9" s="2"/>
      <c r="C9" s="2">
        <v>456991</v>
      </c>
      <c r="D9" s="2">
        <v>24109</v>
      </c>
      <c r="E9" s="2">
        <v>11349</v>
      </c>
      <c r="F9" s="2">
        <v>19</v>
      </c>
      <c r="G9" s="2">
        <v>2221</v>
      </c>
      <c r="H9" s="2">
        <v>198</v>
      </c>
      <c r="I9" s="2">
        <v>14.56</v>
      </c>
      <c r="J9" s="2">
        <v>7</v>
      </c>
      <c r="K9" s="2">
        <v>9604</v>
      </c>
    </row>
    <row r="10" spans="1:11" ht="15.75">
      <c r="A10" s="7" t="s">
        <v>27</v>
      </c>
      <c r="B10" s="2"/>
      <c r="C10" s="2"/>
      <c r="D10" s="2"/>
      <c r="E10" s="2"/>
      <c r="F10" s="2"/>
      <c r="G10" s="2"/>
      <c r="H10" s="2"/>
      <c r="I10" s="175"/>
      <c r="J10" s="175"/>
      <c r="K10" s="2"/>
    </row>
    <row r="11" spans="1:11" ht="15.75">
      <c r="A11" s="7"/>
      <c r="B11" s="2"/>
      <c r="C11" s="2"/>
      <c r="D11" s="2"/>
      <c r="E11" s="2"/>
      <c r="F11" s="2"/>
      <c r="G11" s="2"/>
      <c r="H11" s="2"/>
      <c r="I11" s="2"/>
      <c r="J11" s="2"/>
      <c r="K11" s="2"/>
    </row>
    <row r="12" spans="1:12" ht="15">
      <c r="A12" t="s">
        <v>4</v>
      </c>
      <c r="B12" s="2"/>
      <c r="C12" s="2">
        <v>351</v>
      </c>
      <c r="D12" s="2">
        <v>31</v>
      </c>
      <c r="E12" s="2">
        <v>18</v>
      </c>
      <c r="F12" s="2">
        <v>1</v>
      </c>
      <c r="G12" s="2">
        <v>9</v>
      </c>
      <c r="H12" s="2">
        <v>1</v>
      </c>
      <c r="I12" s="210">
        <v>1</v>
      </c>
      <c r="J12" s="2">
        <v>0</v>
      </c>
      <c r="K12" s="2">
        <v>17</v>
      </c>
      <c r="L12" s="4">
        <f aca="true" t="shared" si="0" ref="L12:L23">SUM(C12:K12)</f>
        <v>429</v>
      </c>
    </row>
    <row r="13" spans="1:12" ht="15">
      <c r="A13" t="s">
        <v>5</v>
      </c>
      <c r="B13" s="2"/>
      <c r="C13" s="2">
        <v>570</v>
      </c>
      <c r="D13" s="2">
        <v>48</v>
      </c>
      <c r="E13" s="2">
        <v>23</v>
      </c>
      <c r="F13" s="2">
        <v>1</v>
      </c>
      <c r="G13" s="2">
        <v>10</v>
      </c>
      <c r="H13" s="2">
        <v>1</v>
      </c>
      <c r="I13" s="210">
        <v>1</v>
      </c>
      <c r="J13" s="2">
        <v>0</v>
      </c>
      <c r="K13" s="2">
        <v>24</v>
      </c>
      <c r="L13" s="4">
        <f t="shared" si="0"/>
        <v>678</v>
      </c>
    </row>
    <row r="14" spans="1:12" ht="15">
      <c r="A14" t="s">
        <v>6</v>
      </c>
      <c r="C14" s="2">
        <v>810</v>
      </c>
      <c r="D14" s="2">
        <v>80</v>
      </c>
      <c r="E14" s="2">
        <v>36</v>
      </c>
      <c r="F14" s="2">
        <v>1</v>
      </c>
      <c r="G14" s="2">
        <v>10</v>
      </c>
      <c r="H14" s="2">
        <v>2</v>
      </c>
      <c r="I14" s="210">
        <v>1</v>
      </c>
      <c r="J14" s="2">
        <v>0</v>
      </c>
      <c r="K14" s="2">
        <v>29</v>
      </c>
      <c r="L14" s="4">
        <f t="shared" si="0"/>
        <v>969</v>
      </c>
    </row>
    <row r="15" spans="1:12" ht="15">
      <c r="A15" t="s">
        <v>7</v>
      </c>
      <c r="C15" s="2">
        <v>1002</v>
      </c>
      <c r="D15" s="2">
        <v>92</v>
      </c>
      <c r="E15" s="2">
        <v>49</v>
      </c>
      <c r="F15" s="2">
        <v>1</v>
      </c>
      <c r="G15" s="2">
        <v>11</v>
      </c>
      <c r="H15" s="2">
        <v>2</v>
      </c>
      <c r="I15" s="210">
        <v>1</v>
      </c>
      <c r="J15" s="2">
        <v>0</v>
      </c>
      <c r="K15" s="2">
        <v>41</v>
      </c>
      <c r="L15" s="4">
        <f t="shared" si="0"/>
        <v>1199</v>
      </c>
    </row>
    <row r="16" spans="1:12" ht="15">
      <c r="A16" t="s">
        <v>8</v>
      </c>
      <c r="C16" s="2">
        <v>1191</v>
      </c>
      <c r="D16" s="2">
        <v>99</v>
      </c>
      <c r="E16" s="2">
        <v>57</v>
      </c>
      <c r="F16" s="2">
        <v>1</v>
      </c>
      <c r="G16" s="2">
        <v>13</v>
      </c>
      <c r="H16" s="2">
        <v>2</v>
      </c>
      <c r="I16" s="210">
        <v>1</v>
      </c>
      <c r="J16" s="2">
        <v>0</v>
      </c>
      <c r="K16" s="2">
        <v>47</v>
      </c>
      <c r="L16" s="4">
        <f t="shared" si="0"/>
        <v>1411</v>
      </c>
    </row>
    <row r="17" spans="1:12" ht="15">
      <c r="A17" t="s">
        <v>9</v>
      </c>
      <c r="C17" s="2">
        <v>1380</v>
      </c>
      <c r="D17" s="2">
        <v>113</v>
      </c>
      <c r="E17" s="2">
        <v>60</v>
      </c>
      <c r="F17" s="2">
        <v>1</v>
      </c>
      <c r="G17" s="2">
        <v>13</v>
      </c>
      <c r="H17" s="2">
        <v>2</v>
      </c>
      <c r="I17" s="210">
        <v>1</v>
      </c>
      <c r="J17" s="2">
        <v>0</v>
      </c>
      <c r="K17" s="2">
        <v>59</v>
      </c>
      <c r="L17" s="4">
        <f t="shared" si="0"/>
        <v>1629</v>
      </c>
    </row>
    <row r="18" spans="1:12" ht="15">
      <c r="A18" t="s">
        <v>10</v>
      </c>
      <c r="C18" s="2">
        <v>1650</v>
      </c>
      <c r="D18" s="2">
        <v>119</v>
      </c>
      <c r="E18" s="2">
        <v>69</v>
      </c>
      <c r="F18" s="2">
        <v>1</v>
      </c>
      <c r="G18" s="2">
        <v>17</v>
      </c>
      <c r="H18" s="2">
        <v>2</v>
      </c>
      <c r="I18" s="210">
        <v>1</v>
      </c>
      <c r="J18" s="2">
        <v>0</v>
      </c>
      <c r="K18" s="2">
        <v>67</v>
      </c>
      <c r="L18" s="4">
        <f t="shared" si="0"/>
        <v>1926</v>
      </c>
    </row>
    <row r="19" spans="1:12" ht="15">
      <c r="A19" t="s">
        <v>11</v>
      </c>
      <c r="C19" s="2">
        <v>1839</v>
      </c>
      <c r="D19" s="2">
        <v>132</v>
      </c>
      <c r="E19" s="2">
        <v>72</v>
      </c>
      <c r="F19" s="2">
        <v>1</v>
      </c>
      <c r="G19" s="2">
        <v>19</v>
      </c>
      <c r="H19" s="2">
        <v>2</v>
      </c>
      <c r="I19" s="210">
        <v>1</v>
      </c>
      <c r="J19" s="2">
        <v>0</v>
      </c>
      <c r="K19" s="2">
        <v>78</v>
      </c>
      <c r="L19" s="4">
        <f t="shared" si="0"/>
        <v>2144</v>
      </c>
    </row>
    <row r="20" spans="1:12" ht="15">
      <c r="A20" t="s">
        <v>12</v>
      </c>
      <c r="C20" s="2">
        <v>2103</v>
      </c>
      <c r="D20" s="2">
        <v>149</v>
      </c>
      <c r="E20" s="2">
        <v>77</v>
      </c>
      <c r="F20" s="2">
        <v>1</v>
      </c>
      <c r="G20" s="2">
        <v>19</v>
      </c>
      <c r="H20" s="2">
        <v>2</v>
      </c>
      <c r="I20" s="210">
        <v>1</v>
      </c>
      <c r="J20" s="2">
        <v>1</v>
      </c>
      <c r="K20" s="2">
        <v>89</v>
      </c>
      <c r="L20" s="4">
        <f t="shared" si="0"/>
        <v>2442</v>
      </c>
    </row>
    <row r="21" spans="1:12" ht="15">
      <c r="A21" t="s">
        <v>13</v>
      </c>
      <c r="C21" s="2">
        <v>2412</v>
      </c>
      <c r="D21" s="2">
        <v>164</v>
      </c>
      <c r="E21" s="2">
        <v>79</v>
      </c>
      <c r="F21" s="2">
        <v>1</v>
      </c>
      <c r="G21" s="2">
        <v>19</v>
      </c>
      <c r="H21" s="2">
        <v>3</v>
      </c>
      <c r="I21" s="210">
        <v>1</v>
      </c>
      <c r="J21" s="2">
        <v>1</v>
      </c>
      <c r="K21" s="2">
        <v>92</v>
      </c>
      <c r="L21" s="4">
        <f t="shared" si="0"/>
        <v>2772</v>
      </c>
    </row>
    <row r="22" spans="1:12" ht="15">
      <c r="A22" t="s">
        <v>14</v>
      </c>
      <c r="C22" s="2">
        <v>2631</v>
      </c>
      <c r="D22" s="2">
        <v>170</v>
      </c>
      <c r="E22" s="2">
        <v>82</v>
      </c>
      <c r="F22" s="2">
        <v>1</v>
      </c>
      <c r="G22" s="2">
        <v>20</v>
      </c>
      <c r="H22" s="2">
        <v>3</v>
      </c>
      <c r="I22" s="210">
        <v>1</v>
      </c>
      <c r="J22" s="2">
        <v>1</v>
      </c>
      <c r="K22" s="2">
        <v>97</v>
      </c>
      <c r="L22" s="4">
        <f t="shared" si="0"/>
        <v>3006</v>
      </c>
    </row>
    <row r="23" spans="1:12" ht="17.25">
      <c r="A23" t="s">
        <v>15</v>
      </c>
      <c r="C23" s="5">
        <v>2967</v>
      </c>
      <c r="D23" s="5">
        <v>183</v>
      </c>
      <c r="E23" s="5">
        <v>80</v>
      </c>
      <c r="F23" s="5">
        <v>1</v>
      </c>
      <c r="G23" s="5">
        <v>20</v>
      </c>
      <c r="H23" s="5">
        <v>3</v>
      </c>
      <c r="I23" s="224">
        <v>1</v>
      </c>
      <c r="J23" s="5">
        <v>1</v>
      </c>
      <c r="K23" s="5">
        <v>101</v>
      </c>
      <c r="L23" s="233">
        <f t="shared" si="0"/>
        <v>3357</v>
      </c>
    </row>
    <row r="24" spans="3:12" ht="15">
      <c r="C24" s="4">
        <f>SUM(C12:C23)</f>
        <v>18906</v>
      </c>
      <c r="D24" s="4">
        <f aca="true" t="shared" si="1" ref="D24:L24">SUM(D12:D23)</f>
        <v>1380</v>
      </c>
      <c r="E24" s="4">
        <f t="shared" si="1"/>
        <v>702</v>
      </c>
      <c r="F24" s="4">
        <f t="shared" si="1"/>
        <v>12</v>
      </c>
      <c r="G24" s="4">
        <f t="shared" si="1"/>
        <v>180</v>
      </c>
      <c r="H24" s="4">
        <f t="shared" si="1"/>
        <v>25</v>
      </c>
      <c r="I24" s="4">
        <f t="shared" si="1"/>
        <v>12</v>
      </c>
      <c r="J24" s="4">
        <f t="shared" si="1"/>
        <v>4</v>
      </c>
      <c r="K24" s="4">
        <f t="shared" si="1"/>
        <v>741</v>
      </c>
      <c r="L24" s="4">
        <f t="shared" si="1"/>
        <v>21962</v>
      </c>
    </row>
    <row r="26" ht="15.75">
      <c r="A26" s="6" t="s">
        <v>267</v>
      </c>
    </row>
    <row r="28" spans="1:11" ht="15">
      <c r="A28" t="s">
        <v>4</v>
      </c>
      <c r="C28" s="2">
        <f>'COSS Losses'!B25/'Customer Usage database'!C$9*1000</f>
        <v>1118.8910911157127</v>
      </c>
      <c r="D28" s="2">
        <f>'COSS Losses'!C25/'Customer Usage database'!D$9*1000</f>
        <v>1075.949894759052</v>
      </c>
      <c r="E28" s="2">
        <f>'COSS Losses'!D25/'Customer Usage database'!E$9*1000</f>
        <v>20518.41330033049</v>
      </c>
      <c r="F28" s="2">
        <f>'COSS Losses'!E25/'Customer Usage database'!F$9*1000</f>
        <v>1694616.7703630836</v>
      </c>
      <c r="G28" s="2">
        <f>'COSS Losses'!F25/'Customer Usage database'!G$9*1000</f>
        <v>10068.312449113884</v>
      </c>
      <c r="H28" s="2">
        <f>'COSS Losses'!G25/'Customer Usage database'!H$9*1000</f>
        <v>215331.39590230703</v>
      </c>
      <c r="I28" s="2">
        <f>'COSS Losses'!H25/'Customer Usage database'!I$9*1000</f>
        <v>4450554.3692896925</v>
      </c>
      <c r="J28" s="2"/>
      <c r="K28" s="2">
        <f>'COSS Losses'!J25/'Customer Usage database'!K$9*1000</f>
        <v>1067.2632947240645</v>
      </c>
    </row>
    <row r="29" spans="1:11" ht="15">
      <c r="A29" t="s">
        <v>5</v>
      </c>
      <c r="C29" s="2">
        <f>'COSS Losses'!B26/'Customer Usage database'!C$9*1000</f>
        <v>970.6713444920265</v>
      </c>
      <c r="D29" s="2">
        <f>'COSS Losses'!C26/'Customer Usage database'!D$9*1000</f>
        <v>988.1418713194715</v>
      </c>
      <c r="E29" s="2">
        <f>'COSS Losses'!D26/'Customer Usage database'!E$9*1000</f>
        <v>19337.698712552887</v>
      </c>
      <c r="F29" s="2">
        <f>'COSS Losses'!E26/'Customer Usage database'!F$9*1000</f>
        <v>1594582.9463509652</v>
      </c>
      <c r="G29" s="2">
        <f>'COSS Losses'!F26/'Customer Usage database'!G$9*1000</f>
        <v>9652.38964458692</v>
      </c>
      <c r="H29" s="2">
        <f>'COSS Losses'!G26/'Customer Usage database'!H$9*1000</f>
        <v>194294.75124773334</v>
      </c>
      <c r="I29" s="2">
        <f>'COSS Losses'!H26/'Customer Usage database'!I$9*1000</f>
        <v>4074387.6311654053</v>
      </c>
      <c r="J29" s="2"/>
      <c r="K29" s="2">
        <f>'COSS Losses'!J26/'Customer Usage database'!K$9*1000</f>
        <v>904.487623859535</v>
      </c>
    </row>
    <row r="30" spans="1:11" ht="15">
      <c r="A30" t="s">
        <v>6</v>
      </c>
      <c r="C30" s="2">
        <f>'COSS Losses'!B27/'Customer Usage database'!C$9*1000</f>
        <v>971.8399221089435</v>
      </c>
      <c r="D30" s="2">
        <f>'COSS Losses'!C27/'Customer Usage database'!D$9*1000</f>
        <v>946.3444809917289</v>
      </c>
      <c r="E30" s="2">
        <f>'COSS Losses'!D27/'Customer Usage database'!E$9*1000</f>
        <v>19933.270679191908</v>
      </c>
      <c r="F30" s="2">
        <f>'COSS Losses'!E27/'Customer Usage database'!F$9*1000</f>
        <v>1662281.5163261387</v>
      </c>
      <c r="G30" s="2">
        <f>'COSS Losses'!F27/'Customer Usage database'!G$9*1000</f>
        <v>9681.054379038595</v>
      </c>
      <c r="H30" s="2">
        <f>'COSS Losses'!G27/'Customer Usage database'!H$9*1000</f>
        <v>207345.73955196462</v>
      </c>
      <c r="I30" s="2">
        <f>'COSS Losses'!H27/'Customer Usage database'!I$9*1000</f>
        <v>4282104.908195619</v>
      </c>
      <c r="J30" s="2"/>
      <c r="K30" s="2">
        <f>'COSS Losses'!J27/'Customer Usage database'!K$9*1000</f>
        <v>894.6759367878924</v>
      </c>
    </row>
    <row r="31" spans="1:11" ht="15">
      <c r="A31" t="s">
        <v>7</v>
      </c>
      <c r="C31" s="2">
        <f>'COSS Losses'!B28/'Customer Usage database'!C$9*1000</f>
        <v>777.0377928312175</v>
      </c>
      <c r="D31" s="2">
        <f>'COSS Losses'!C28/'Customer Usage database'!D$9*1000</f>
        <v>802.615682212458</v>
      </c>
      <c r="E31" s="2">
        <f>'COSS Losses'!D28/'Customer Usage database'!E$9*1000</f>
        <v>17305.0627938636</v>
      </c>
      <c r="F31" s="2">
        <f>'COSS Losses'!E28/'Customer Usage database'!F$9*1000</f>
        <v>1525841.5368086929</v>
      </c>
      <c r="G31" s="2">
        <f>'COSS Losses'!F28/'Customer Usage database'!G$9*1000</f>
        <v>9236.1378636487</v>
      </c>
      <c r="H31" s="2">
        <f>'COSS Losses'!G28/'Customer Usage database'!H$9*1000</f>
        <v>206627.25301192782</v>
      </c>
      <c r="I31" s="2">
        <f>'COSS Losses'!H28/'Customer Usage database'!I$9*1000</f>
        <v>4284239.4835496135</v>
      </c>
      <c r="J31" s="2"/>
      <c r="K31" s="2">
        <f>'COSS Losses'!J28/'Customer Usage database'!K$9*1000</f>
        <v>802.2886985454725</v>
      </c>
    </row>
    <row r="32" spans="1:11" ht="15">
      <c r="A32" t="s">
        <v>8</v>
      </c>
      <c r="C32" s="2">
        <f>'COSS Losses'!B29/'Customer Usage database'!C$9*1000</f>
        <v>697.573308408248</v>
      </c>
      <c r="D32" s="2">
        <f>'COSS Losses'!C29/'Customer Usage database'!D$9*1000</f>
        <v>735.4559799861079</v>
      </c>
      <c r="E32" s="2">
        <f>'COSS Losses'!D29/'Customer Usage database'!E$9*1000</f>
        <v>16426.57152940465</v>
      </c>
      <c r="F32" s="2">
        <f>'COSS Losses'!E29/'Customer Usage database'!F$9*1000</f>
        <v>1597393.9420136907</v>
      </c>
      <c r="G32" s="2">
        <f>'COSS Losses'!F29/'Customer Usage database'!G$9*1000</f>
        <v>9308.946669986237</v>
      </c>
      <c r="H32" s="2">
        <f>'COSS Losses'!G29/'Customer Usage database'!H$9*1000</f>
        <v>204170.48482887525</v>
      </c>
      <c r="I32" s="2">
        <f>'COSS Losses'!H29/'Customer Usage database'!I$9*1000</f>
        <v>4595659.856178817</v>
      </c>
      <c r="J32" s="2"/>
      <c r="K32" s="2">
        <f>'COSS Losses'!J29/'Customer Usage database'!K$9*1000</f>
        <v>731.5526239337255</v>
      </c>
    </row>
    <row r="33" spans="1:11" ht="15">
      <c r="A33" t="s">
        <v>9</v>
      </c>
      <c r="C33" s="2">
        <f>'COSS Losses'!B30/'Customer Usage database'!C$9*1000</f>
        <v>571.184913544405</v>
      </c>
      <c r="D33" s="2">
        <f>'COSS Losses'!C30/'Customer Usage database'!D$9*1000</f>
        <v>700.3597216343234</v>
      </c>
      <c r="E33" s="2">
        <f>'COSS Losses'!D30/'Customer Usage database'!E$9*1000</f>
        <v>16635.547159892783</v>
      </c>
      <c r="F33" s="2">
        <f>'COSS Losses'!E30/'Customer Usage database'!F$9*1000</f>
        <v>1587303.3935721014</v>
      </c>
      <c r="G33" s="2">
        <f>'COSS Losses'!F30/'Customer Usage database'!G$9*1000</f>
        <v>9717.928004080899</v>
      </c>
      <c r="H33" s="2">
        <f>'COSS Losses'!G30/'Customer Usage database'!H$9*1000</f>
        <v>213744.29350800317</v>
      </c>
      <c r="I33" s="2">
        <f>'COSS Losses'!H30/'Customer Usage database'!I$9*1000</f>
        <v>4427328.744365387</v>
      </c>
      <c r="J33" s="2"/>
      <c r="K33" s="2">
        <f>'COSS Losses'!J30/'Customer Usage database'!K$9*1000</f>
        <v>651.2908944344334</v>
      </c>
    </row>
    <row r="34" spans="1:11" ht="15">
      <c r="A34" t="s">
        <v>10</v>
      </c>
      <c r="C34" s="2">
        <f>'COSS Losses'!B31/'Customer Usage database'!C$9*1000</f>
        <v>574.1206450411729</v>
      </c>
      <c r="D34" s="2">
        <f>'COSS Losses'!C31/'Customer Usage database'!D$9*1000</f>
        <v>721.771027139594</v>
      </c>
      <c r="E34" s="2">
        <f>'COSS Losses'!D31/'Customer Usage database'!E$9*1000</f>
        <v>17934.946139367432</v>
      </c>
      <c r="F34" s="2">
        <f>'COSS Losses'!E31/'Customer Usage database'!F$9*1000</f>
        <v>1841757.8001497153</v>
      </c>
      <c r="G34" s="2">
        <f>'COSS Losses'!F31/'Customer Usage database'!G$9*1000</f>
        <v>9878.449641387411</v>
      </c>
      <c r="H34" s="2">
        <f>'COSS Losses'!G31/'Customer Usage database'!H$9*1000</f>
        <v>213547.88095917532</v>
      </c>
      <c r="I34" s="2">
        <f>'COSS Losses'!H31/'Customer Usage database'!I$9*1000</f>
        <v>4822681.866472571</v>
      </c>
      <c r="J34" s="2"/>
      <c r="K34" s="2">
        <f>'COSS Losses'!J31/'Customer Usage database'!K$9*1000</f>
        <v>678.7220548107356</v>
      </c>
    </row>
    <row r="35" spans="1:11" ht="15">
      <c r="A35" t="s">
        <v>11</v>
      </c>
      <c r="C35" s="2">
        <f>'COSS Losses'!B32/'Customer Usage database'!C$9*1000</f>
        <v>562.2754750310291</v>
      </c>
      <c r="D35" s="2">
        <f>'COSS Losses'!C32/'Customer Usage database'!D$9*1000</f>
        <v>726.5978193337434</v>
      </c>
      <c r="E35" s="2">
        <f>'COSS Losses'!D32/'Customer Usage database'!E$9*1000</f>
        <v>17424.455490468117</v>
      </c>
      <c r="F35" s="2">
        <f>'COSS Losses'!E32/'Customer Usage database'!F$9*1000</f>
        <v>1861861.7233154532</v>
      </c>
      <c r="G35" s="2">
        <f>'COSS Losses'!F32/'Customer Usage database'!G$9*1000</f>
        <v>9859.880967876463</v>
      </c>
      <c r="H35" s="2">
        <f>'COSS Losses'!G32/'Customer Usage database'!H$9*1000</f>
        <v>213778.62226463002</v>
      </c>
      <c r="I35" s="2">
        <f>'COSS Losses'!H32/'Customer Usage database'!I$9*1000</f>
        <v>5172288.114948245</v>
      </c>
      <c r="J35" s="2"/>
      <c r="K35" s="2">
        <f>'COSS Losses'!J32/'Customer Usage database'!K$9*1000</f>
        <v>737.0997317864787</v>
      </c>
    </row>
    <row r="36" spans="1:11" ht="15">
      <c r="A36" t="s">
        <v>12</v>
      </c>
      <c r="C36" s="2">
        <f>'COSS Losses'!B33/'Customer Usage database'!C$9*1000</f>
        <v>563.2009527416776</v>
      </c>
      <c r="D36" s="2">
        <f>'COSS Losses'!C33/'Customer Usage database'!D$9*1000</f>
        <v>657.8489736157308</v>
      </c>
      <c r="E36" s="2">
        <f>'COSS Losses'!D33/'Customer Usage database'!E$9*1000</f>
        <v>16134.669150957696</v>
      </c>
      <c r="F36" s="2">
        <f>'COSS Losses'!E33/'Customer Usage database'!F$9*1000</f>
        <v>1737077.7885040068</v>
      </c>
      <c r="G36" s="2">
        <f>'COSS Losses'!F33/'Customer Usage database'!G$9*1000</f>
        <v>9216.481505516922</v>
      </c>
      <c r="H36" s="2">
        <f>'COSS Losses'!G33/'Customer Usage database'!H$9*1000</f>
        <v>208221.37397854787</v>
      </c>
      <c r="I36" s="2">
        <f>'COSS Losses'!H33/'Customer Usage database'!I$9*1000</f>
        <v>4881329.762421957</v>
      </c>
      <c r="J36" s="2">
        <f>'COSS Losses'!I33/'Customer Usage database'!J$9*1000*$J$1</f>
        <v>5360871.598282292</v>
      </c>
      <c r="K36" s="2">
        <f>'COSS Losses'!J33/'Customer Usage database'!K$9*1000</f>
        <v>797.2057001507197</v>
      </c>
    </row>
    <row r="37" spans="1:11" ht="15">
      <c r="A37" t="s">
        <v>13</v>
      </c>
      <c r="C37" s="2">
        <f>'COSS Losses'!B34/'Customer Usage database'!C$9*1000</f>
        <v>648.8523104051633</v>
      </c>
      <c r="D37" s="2">
        <f>'COSS Losses'!C34/'Customer Usage database'!D$9*1000</f>
        <v>733.7081986826083</v>
      </c>
      <c r="E37" s="2">
        <f>'COSS Losses'!D34/'Customer Usage database'!E$9*1000</f>
        <v>16796.307393619147</v>
      </c>
      <c r="F37" s="2">
        <f>'COSS Losses'!E34/'Customer Usage database'!F$9*1000</f>
        <v>1690117.1206304282</v>
      </c>
      <c r="G37" s="2">
        <f>'COSS Losses'!F34/'Customer Usage database'!G$9*1000</f>
        <v>8488.419485199493</v>
      </c>
      <c r="H37" s="2">
        <f>'COSS Losses'!G34/'Customer Usage database'!H$9*1000</f>
        <v>209952.65952390165</v>
      </c>
      <c r="I37" s="2">
        <f>'COSS Losses'!H34/'Customer Usage database'!I$9*1000</f>
        <v>4758928.257481431</v>
      </c>
      <c r="J37" s="2">
        <f>'COSS Losses'!I34/'Customer Usage database'!J$9*1000*$J$1</f>
        <v>5226445.369496407</v>
      </c>
      <c r="K37" s="2">
        <f>'COSS Losses'!J34/'Customer Usage database'!K$9*1000</f>
        <v>858.7559640819879</v>
      </c>
    </row>
    <row r="38" spans="1:11" ht="15">
      <c r="A38" t="s">
        <v>14</v>
      </c>
      <c r="C38" s="2">
        <f>'COSS Losses'!B35/'Customer Usage database'!C$9*1000</f>
        <v>759.85082468506</v>
      </c>
      <c r="D38" s="2">
        <f>'COSS Losses'!C35/'Customer Usage database'!D$9*1000</f>
        <v>768.0432479247827</v>
      </c>
      <c r="E38" s="2">
        <f>'COSS Losses'!D35/'Customer Usage database'!E$9*1000</f>
        <v>17472.14801199721</v>
      </c>
      <c r="F38" s="2">
        <f>'COSS Losses'!E35/'Customer Usage database'!F$9*1000</f>
        <v>1579504.2400005148</v>
      </c>
      <c r="G38" s="2">
        <f>'COSS Losses'!F35/'Customer Usage database'!G$9*1000</f>
        <v>9310.182894241261</v>
      </c>
      <c r="H38" s="2">
        <f>'COSS Losses'!G35/'Customer Usage database'!H$9*1000</f>
        <v>205613.09319717338</v>
      </c>
      <c r="I38" s="2">
        <f>'COSS Losses'!H35/'Customer Usage database'!I$9*1000</f>
        <v>4684406.607269142</v>
      </c>
      <c r="J38" s="2">
        <f>'COSS Losses'!I35/'Customer Usage database'!J$9*1000*$J$1</f>
        <v>5144602.712367264</v>
      </c>
      <c r="K38" s="2">
        <f>'COSS Losses'!J35/'Customer Usage database'!K$9*1000</f>
        <v>1003.2271849432888</v>
      </c>
    </row>
    <row r="39" spans="1:11" ht="17.25">
      <c r="A39" t="s">
        <v>15</v>
      </c>
      <c r="C39" s="5">
        <f>'COSS Losses'!B36/'Customer Usage database'!C$9*1000</f>
        <v>1011.2422336371916</v>
      </c>
      <c r="D39" s="5">
        <f>'COSS Losses'!C36/'Customer Usage database'!D$9*1000</f>
        <v>959.2743061338007</v>
      </c>
      <c r="E39" s="5">
        <f>'COSS Losses'!D36/'Customer Usage database'!E$9*1000</f>
        <v>19843.094597233365</v>
      </c>
      <c r="F39" s="5">
        <f>'COSS Losses'!E36/'Customer Usage database'!F$9*1000</f>
        <v>1609196.4761142035</v>
      </c>
      <c r="G39" s="5">
        <f>'COSS Losses'!F36/'Customer Usage database'!G$9*1000</f>
        <v>10796.863110782435</v>
      </c>
      <c r="H39" s="5">
        <f>'COSS Losses'!G36/'Customer Usage database'!H$9*1000</f>
        <v>209453.72053150216</v>
      </c>
      <c r="I39" s="5">
        <f>'COSS Losses'!H36/'Customer Usage database'!I$9*1000</f>
        <v>4019695.14536307</v>
      </c>
      <c r="J39" s="5">
        <f>'COSS Losses'!I36/'Customer Usage database'!J$9*1000*$J$1</f>
        <v>4414589.996443539</v>
      </c>
      <c r="K39" s="5">
        <f>'COSS Losses'!J36/'Customer Usage database'!K$9*1000</f>
        <v>1103.1307281328643</v>
      </c>
    </row>
    <row r="40" spans="3:11" ht="15">
      <c r="C40" s="4">
        <f aca="true" t="shared" si="2" ref="C40:K40">SUM(C28:C39)</f>
        <v>9226.740814041847</v>
      </c>
      <c r="D40" s="4">
        <f t="shared" si="2"/>
        <v>9816.1112037334</v>
      </c>
      <c r="E40" s="4">
        <f t="shared" si="2"/>
        <v>215762.18495887928</v>
      </c>
      <c r="F40" s="4">
        <f t="shared" si="2"/>
        <v>19981535.254148994</v>
      </c>
      <c r="G40" s="4">
        <f t="shared" si="2"/>
        <v>115215.04661545923</v>
      </c>
      <c r="H40" s="4">
        <f t="shared" si="2"/>
        <v>2502081.268505742</v>
      </c>
      <c r="I40" s="4">
        <f t="shared" si="2"/>
        <v>54453604.74670095</v>
      </c>
      <c r="J40" s="4">
        <f t="shared" si="2"/>
        <v>20146509.6765895</v>
      </c>
      <c r="K40" s="4">
        <f t="shared" si="2"/>
        <v>10229.700436191199</v>
      </c>
    </row>
    <row r="43" spans="1:11" ht="15.75">
      <c r="A43" s="248" t="s">
        <v>268</v>
      </c>
      <c r="B43" s="194"/>
      <c r="C43" s="194"/>
      <c r="D43" s="194"/>
      <c r="E43" s="194"/>
      <c r="F43" s="194"/>
      <c r="G43" s="194"/>
      <c r="H43" s="194"/>
      <c r="I43" s="194"/>
      <c r="J43" s="194"/>
      <c r="K43" s="194"/>
    </row>
    <row r="44" spans="1:11" ht="15">
      <c r="A44" s="194"/>
      <c r="B44" s="194"/>
      <c r="C44" s="194"/>
      <c r="D44" s="194"/>
      <c r="E44" s="194"/>
      <c r="F44" s="194"/>
      <c r="G44" s="194"/>
      <c r="H44" s="194"/>
      <c r="I44" s="194"/>
      <c r="J44" s="194"/>
      <c r="K44" s="194"/>
    </row>
    <row r="45" spans="1:11" ht="15">
      <c r="A45" s="194" t="s">
        <v>4</v>
      </c>
      <c r="B45" s="194"/>
      <c r="C45" s="249">
        <f>MIN('COSS Losses'!B90/'Customer Usage database'!C$9,C76)</f>
        <v>2.1296664339184295</v>
      </c>
      <c r="D45" s="249">
        <f>MIN('COSS Losses'!C90/'Customer Usage database'!D$9,D76)</f>
        <v>1.6295640739388015</v>
      </c>
      <c r="E45" s="249">
        <f>MIN('COSS Losses'!D90/'Customer Usage database'!E$9,E76)</f>
        <v>39.92514520019592</v>
      </c>
      <c r="F45" s="249">
        <f>MIN('COSS Losses'!E90/'Customer Usage database'!F$9,F76)</f>
        <v>2628.4479645676147</v>
      </c>
      <c r="G45" s="249">
        <f>MIN('COSS Losses'!F90/'Customer Usage database'!G$9,G76)</f>
        <v>17.625350930477737</v>
      </c>
      <c r="H45" s="249">
        <f>MIN('COSS Losses'!G90/'Customer Usage database'!H$9,H76)</f>
        <v>362.3099557888892</v>
      </c>
      <c r="I45" s="249">
        <f>MIN('COSS Losses'!H90/'Customer Usage database'!I$9,I76)</f>
        <v>6491.03904366144</v>
      </c>
      <c r="J45" s="249"/>
      <c r="K45" s="249">
        <f>MIN('COSS Losses'!J90/'Customer Usage database'!K$9,K76)</f>
        <v>1.808172951355916</v>
      </c>
    </row>
    <row r="46" spans="1:11" ht="15">
      <c r="A46" s="194" t="s">
        <v>5</v>
      </c>
      <c r="B46" s="194"/>
      <c r="C46" s="249">
        <f>MIN('COSS Losses'!B91/'Customer Usage database'!C$9,C77)</f>
        <v>2.240341668025647</v>
      </c>
      <c r="D46" s="249">
        <f>MIN('COSS Losses'!C91/'Customer Usage database'!D$9,D77)</f>
        <v>1.5329925350146687</v>
      </c>
      <c r="E46" s="249">
        <f>MIN('COSS Losses'!D91/'Customer Usage database'!E$9,E77)</f>
        <v>35.551408207066785</v>
      </c>
      <c r="F46" s="249">
        <f>MIN('COSS Losses'!E91/'Customer Usage database'!F$9,F77)</f>
        <v>2616.8569673396473</v>
      </c>
      <c r="G46" s="249">
        <f>MIN('COSS Losses'!F91/'Customer Usage database'!G$9,G77)</f>
        <v>16.577829895737068</v>
      </c>
      <c r="H46" s="249">
        <f>MIN('COSS Losses'!G91/'Customer Usage database'!H$9,H77)</f>
        <v>350.57953001597826</v>
      </c>
      <c r="I46" s="249">
        <f>MIN('COSS Losses'!H91/'Customer Usage database'!I$9,I77)</f>
        <v>6734.949130808353</v>
      </c>
      <c r="J46" s="249"/>
      <c r="K46" s="249">
        <f>MIN('COSS Losses'!J91/'Customer Usage database'!K$9,K77)</f>
        <v>2.300849069542475</v>
      </c>
    </row>
    <row r="47" spans="1:11" ht="15">
      <c r="A47" s="194" t="s">
        <v>6</v>
      </c>
      <c r="B47" s="194"/>
      <c r="C47" s="249">
        <f>MIN('COSS Losses'!B92/'Customer Usage database'!C$9,C78)</f>
        <v>1.7848676778813435</v>
      </c>
      <c r="D47" s="249">
        <f>MIN('COSS Losses'!C92/'Customer Usage database'!D$9,D78)</f>
        <v>1.648188636437422</v>
      </c>
      <c r="E47" s="249">
        <f>MIN('COSS Losses'!D92/'Customer Usage database'!E$9,E78)</f>
        <v>36.88039286378324</v>
      </c>
      <c r="F47" s="249">
        <f>MIN('COSS Losses'!E92/'Customer Usage database'!F$9,F78)</f>
        <v>2690.9940539714107</v>
      </c>
      <c r="G47" s="249">
        <f>MIN('COSS Losses'!F92/'Customer Usage database'!G$9,G78)</f>
        <v>16.607608579320086</v>
      </c>
      <c r="H47" s="249">
        <f>MIN('COSS Losses'!G92/'Customer Usage database'!H$9,H78)</f>
        <v>316.2400293831184</v>
      </c>
      <c r="I47" s="249">
        <f>MIN('COSS Losses'!H92/'Customer Usage database'!I$9,I78)</f>
        <v>6146.623227757713</v>
      </c>
      <c r="J47" s="249"/>
      <c r="K47" s="249">
        <f>MIN('COSS Losses'!J92/'Customer Usage database'!K$9,K78)</f>
        <v>0.26008718827558264</v>
      </c>
    </row>
    <row r="48" spans="1:11" ht="15">
      <c r="A48" s="194" t="s">
        <v>7</v>
      </c>
      <c r="B48" s="194"/>
      <c r="C48" s="249">
        <f>MIN('COSS Losses'!B93/'Customer Usage database'!C$9,C79)</f>
        <v>1.6262881899215633</v>
      </c>
      <c r="D48" s="249">
        <f>MIN('COSS Losses'!C93/'Customer Usage database'!D$9,D79)</f>
        <v>0.9352522806613205</v>
      </c>
      <c r="E48" s="249">
        <f>MIN('COSS Losses'!D93/'Customer Usage database'!E$9,E79)</f>
        <v>29.660101249892875</v>
      </c>
      <c r="F48" s="249">
        <f>MIN('COSS Losses'!E93/'Customer Usage database'!F$9,F79)</f>
        <v>2371.1514781250457</v>
      </c>
      <c r="G48" s="249">
        <f>MIN('COSS Losses'!F93/'Customer Usage database'!G$9,G79)</f>
        <v>14.341416430734284</v>
      </c>
      <c r="H48" s="249">
        <f>MIN('COSS Losses'!G93/'Customer Usage database'!H$9,H79)</f>
        <v>313.95966544155283</v>
      </c>
      <c r="I48" s="249">
        <f>MIN('COSS Losses'!H93/'Customer Usage database'!I$9,I79)</f>
        <v>6371.508656259001</v>
      </c>
      <c r="J48" s="249"/>
      <c r="K48" s="249">
        <f>MIN('COSS Losses'!J93/'Customer Usage database'!K$9,K79)</f>
        <v>0.28214183848620755</v>
      </c>
    </row>
    <row r="49" spans="1:11" ht="15">
      <c r="A49" s="194" t="s">
        <v>8</v>
      </c>
      <c r="B49" s="194"/>
      <c r="C49" s="249">
        <f>MIN('COSS Losses'!B94/'Customer Usage database'!C$9,C80)</f>
        <v>1.2901257816241996</v>
      </c>
      <c r="D49" s="249">
        <f>MIN('COSS Losses'!C94/'Customer Usage database'!D$9,D80)</f>
        <v>1.3342327047328184</v>
      </c>
      <c r="E49" s="249">
        <f>MIN('COSS Losses'!D94/'Customer Usage database'!E$9,E80)</f>
        <v>30.266701459454822</v>
      </c>
      <c r="F49" s="249">
        <f>MIN('COSS Losses'!E94/'Customer Usage database'!F$9,F80)</f>
        <v>2796.7680140944417</v>
      </c>
      <c r="G49" s="249">
        <f>MIN('COSS Losses'!F94/'Customer Usage database'!G$9,G80)</f>
        <v>18.250422041877425</v>
      </c>
      <c r="H49" s="249">
        <f>MIN('COSS Losses'!G94/'Customer Usage database'!H$9,H80)</f>
        <v>338.2187366640731</v>
      </c>
      <c r="I49" s="249">
        <f>MIN('COSS Losses'!H94/'Customer Usage database'!I$9,I80)</f>
        <v>6575.498582749103</v>
      </c>
      <c r="J49" s="249"/>
      <c r="K49" s="249">
        <f>MIN('COSS Losses'!J94/'Customer Usage database'!K$9,K80)</f>
        <v>0.31289757036335875</v>
      </c>
    </row>
    <row r="50" spans="1:11" ht="15">
      <c r="A50" s="194" t="s">
        <v>9</v>
      </c>
      <c r="B50" s="194"/>
      <c r="C50" s="249">
        <f>MIN('COSS Losses'!B95/'Customer Usage database'!C$9,C81)</f>
        <v>1.3538240547249116</v>
      </c>
      <c r="D50" s="249">
        <f>MIN('COSS Losses'!C95/'Customer Usage database'!D$9,D81)</f>
        <v>1.0534012875480998</v>
      </c>
      <c r="E50" s="249">
        <f>MIN('COSS Losses'!D95/'Customer Usage database'!E$9,E81)</f>
        <v>26.730612967672013</v>
      </c>
      <c r="F50" s="249">
        <f>MIN('COSS Losses'!E95/'Customer Usage database'!F$9,F81)</f>
        <v>2351.0221804315856</v>
      </c>
      <c r="G50" s="249">
        <f>MIN('COSS Losses'!F95/'Customer Usage database'!G$9,G81)</f>
        <v>14.49300592521087</v>
      </c>
      <c r="H50" s="249">
        <f>MIN('COSS Losses'!G95/'Customer Usage database'!H$9,H81)</f>
        <v>329.45952527142146</v>
      </c>
      <c r="I50" s="249">
        <f>MIN('COSS Losses'!H95/'Customer Usage database'!I$9,I81)</f>
        <v>6853.804833135547</v>
      </c>
      <c r="J50" s="249"/>
      <c r="K50" s="249">
        <f>MIN('COSS Losses'!J95/'Customer Usage database'!K$9,K81)</f>
        <v>0.26693681308828365</v>
      </c>
    </row>
    <row r="51" spans="1:11" ht="15">
      <c r="A51" s="194" t="s">
        <v>10</v>
      </c>
      <c r="B51" s="194"/>
      <c r="C51" s="249">
        <f>MIN('COSS Losses'!B96/'Customer Usage database'!C$9,C82)</f>
        <v>0.9589893978757673</v>
      </c>
      <c r="D51" s="249">
        <f>MIN('COSS Losses'!C96/'Customer Usage database'!D$9,D82)</f>
        <v>1.5295329073823434</v>
      </c>
      <c r="E51" s="249">
        <f>MIN('COSS Losses'!D96/'Customer Usage database'!E$9,E82)</f>
        <v>34.93743740997157</v>
      </c>
      <c r="F51" s="249">
        <f>MIN('COSS Losses'!E96/'Customer Usage database'!F$9,F82)</f>
        <v>3285.975711806134</v>
      </c>
      <c r="G51" s="249">
        <f>MIN('COSS Losses'!F96/'Customer Usage database'!G$9,G82)</f>
        <v>18.423019517849248</v>
      </c>
      <c r="H51" s="249">
        <f>MIN('COSS Losses'!G96/'Customer Usage database'!H$9,H82)</f>
        <v>371.16080247943074</v>
      </c>
      <c r="I51" s="249">
        <f>MIN('COSS Losses'!H96/'Customer Usage database'!I$9,I82)</f>
        <v>7661.143748258565</v>
      </c>
      <c r="J51" s="249"/>
      <c r="K51" s="249">
        <f>MIN('COSS Losses'!J96/'Customer Usage database'!K$9,K82)</f>
        <v>0.3113387818132513</v>
      </c>
    </row>
    <row r="52" spans="1:11" ht="15">
      <c r="A52" s="194" t="s">
        <v>11</v>
      </c>
      <c r="B52" s="194"/>
      <c r="C52" s="249">
        <f>MIN('COSS Losses'!B97/'Customer Usage database'!C$9,C83)</f>
        <v>1.0528569317442902</v>
      </c>
      <c r="D52" s="249">
        <f>MIN('COSS Losses'!C97/'Customer Usage database'!D$9,D83)</f>
        <v>1.4356646872954635</v>
      </c>
      <c r="E52" s="249">
        <f>MIN('COSS Losses'!D97/'Customer Usage database'!E$9,E83)</f>
        <v>35.74726076981996</v>
      </c>
      <c r="F52" s="249">
        <f>MIN('COSS Losses'!E97/'Customer Usage database'!F$9,F83)</f>
        <v>3423.9512394289495</v>
      </c>
      <c r="G52" s="249">
        <f>MIN('COSS Losses'!F97/'Customer Usage database'!G$9,G83)</f>
        <v>17.796891978615953</v>
      </c>
      <c r="H52" s="249">
        <f>MIN('COSS Losses'!G97/'Customer Usage database'!H$9,H83)</f>
        <v>351.24320884719685</v>
      </c>
      <c r="I52" s="249">
        <f>MIN('COSS Losses'!H97/'Customer Usage database'!I$9,I83)</f>
        <v>7759.0127508572305</v>
      </c>
      <c r="J52" s="249"/>
      <c r="K52" s="249">
        <f>MIN('COSS Losses'!J97/'Customer Usage database'!K$9,K83)</f>
        <v>0.2963613063901406</v>
      </c>
    </row>
    <row r="53" spans="1:11" ht="15">
      <c r="A53" s="194" t="s">
        <v>12</v>
      </c>
      <c r="B53" s="194"/>
      <c r="C53" s="249">
        <f>MIN('COSS Losses'!B98/'Customer Usage database'!C$9,C84)</f>
        <v>1.0727873588215182</v>
      </c>
      <c r="D53" s="249">
        <f>MIN('COSS Losses'!C98/'Customer Usage database'!D$9,D84)</f>
        <v>1.3626947815563373</v>
      </c>
      <c r="E53" s="249">
        <f>MIN('COSS Losses'!D98/'Customer Usage database'!E$9,E84)</f>
        <v>36.61124871219963</v>
      </c>
      <c r="F53" s="249">
        <f>MIN('COSS Losses'!E98/'Customer Usage database'!F$9,F84)</f>
        <v>3484.615459513863</v>
      </c>
      <c r="G53" s="249">
        <f>MIN('COSS Losses'!F98/'Customer Usage database'!G$9,G84)</f>
        <v>16.952306367899485</v>
      </c>
      <c r="H53" s="249">
        <f>MIN('COSS Losses'!G98/'Customer Usage database'!H$9,H84)</f>
        <v>353.5048904604734</v>
      </c>
      <c r="I53" s="249">
        <f>MIN('COSS Losses'!H98/'Customer Usage database'!I$9,I84)</f>
        <v>7804.822249042212</v>
      </c>
      <c r="J53" s="249">
        <f>MIN('COSS Losses'!I98/'Customer Usage database'!J$9*$J$1,J84)</f>
        <v>8699.163129273822</v>
      </c>
      <c r="K53" s="249">
        <f>MIN('COSS Losses'!J98/'Customer Usage database'!K$9,K84)</f>
        <v>0.2811586396742021</v>
      </c>
    </row>
    <row r="54" spans="1:11" ht="15">
      <c r="A54" s="194" t="s">
        <v>13</v>
      </c>
      <c r="B54" s="194"/>
      <c r="C54" s="249">
        <f>MIN('COSS Losses'!B99/'Customer Usage database'!C$9,C85)</f>
        <v>1.3054813738048012</v>
      </c>
      <c r="D54" s="249">
        <f>MIN('COSS Losses'!C99/'Customer Usage database'!D$9,D85)</f>
        <v>1.198283718057425</v>
      </c>
      <c r="E54" s="249">
        <f>MIN('COSS Losses'!D99/'Customer Usage database'!E$9,E85)</f>
        <v>31.43918893507016</v>
      </c>
      <c r="F54" s="249">
        <f>MIN('COSS Losses'!E99/'Customer Usage database'!F$9,F85)</f>
        <v>2781.2478062438945</v>
      </c>
      <c r="G54" s="249">
        <f>MIN('COSS Losses'!F99/'Customer Usage database'!G$9,G85)</f>
        <v>18.205103991287764</v>
      </c>
      <c r="H54" s="249">
        <f>MIN('COSS Losses'!G99/'Customer Usage database'!H$9,H85)</f>
        <v>356.35233840412883</v>
      </c>
      <c r="I54" s="249">
        <f>MIN('COSS Losses'!H99/'Customer Usage database'!I$9,I85)</f>
        <v>7002.229160553907</v>
      </c>
      <c r="J54" s="249">
        <f>MIN('COSS Losses'!I99/'Customer Usage database'!J$9*$J$1,J85)</f>
        <v>7872.859360130632</v>
      </c>
      <c r="K54" s="249">
        <f>MIN('COSS Losses'!J99/'Customer Usage database'!K$9,K85)</f>
        <v>0.23779955327643212</v>
      </c>
    </row>
    <row r="55" spans="1:11" ht="15">
      <c r="A55" s="194" t="s">
        <v>14</v>
      </c>
      <c r="B55" s="194"/>
      <c r="C55" s="249">
        <f>MIN('COSS Losses'!B100/'Customer Usage database'!C$9,C86)</f>
        <v>1.67557711432695</v>
      </c>
      <c r="D55" s="249">
        <f>MIN('COSS Losses'!C100/'Customer Usage database'!D$9,D86)</f>
        <v>1.2762575760833836</v>
      </c>
      <c r="E55" s="249">
        <f>MIN('COSS Losses'!D100/'Customer Usage database'!E$9,E86)</f>
        <v>31.48187384245221</v>
      </c>
      <c r="F55" s="249">
        <f>MIN('COSS Losses'!E100/'Customer Usage database'!F$9,F86)</f>
        <v>2622.696208962875</v>
      </c>
      <c r="G55" s="249">
        <f>MIN('COSS Losses'!F100/'Customer Usage database'!G$9,G86)</f>
        <v>15.002241313214293</v>
      </c>
      <c r="H55" s="249">
        <f>MIN('COSS Losses'!G100/'Customer Usage database'!H$9,H86)</f>
        <v>350.20584731565566</v>
      </c>
      <c r="I55" s="249">
        <f>MIN('COSS Losses'!H100/'Customer Usage database'!I$9,I86)</f>
        <v>5729.3554227565955</v>
      </c>
      <c r="J55" s="249">
        <f>MIN('COSS Losses'!I100/'Customer Usage database'!J$9*$J$1,J86)</f>
        <v>6414.055710294545</v>
      </c>
      <c r="K55" s="249">
        <f>MIN('COSS Losses'!J100/'Customer Usage database'!K$9,K86)</f>
        <v>1.7097440748200294</v>
      </c>
    </row>
    <row r="56" spans="1:11" ht="17.25">
      <c r="A56" s="194" t="s">
        <v>15</v>
      </c>
      <c r="B56" s="194"/>
      <c r="C56" s="250">
        <f>MIN('COSS Losses'!B101/'Customer Usage database'!C$9,C87)</f>
        <v>2.0057388987186395</v>
      </c>
      <c r="D56" s="250">
        <f>MIN('COSS Losses'!C101/'Customer Usage database'!D$9,D87)</f>
        <v>1.5035267341344787</v>
      </c>
      <c r="E56" s="250">
        <f>MIN('COSS Losses'!D101/'Customer Usage database'!E$9,E87)</f>
        <v>36.01836338134369</v>
      </c>
      <c r="F56" s="250">
        <f>MIN('COSS Losses'!E101/'Customer Usage database'!F$9,F87)</f>
        <v>2696.39192682742</v>
      </c>
      <c r="G56" s="250">
        <f>MIN('COSS Losses'!F101/'Customer Usage database'!G$9,G87)</f>
        <v>15.234318420388488</v>
      </c>
      <c r="H56" s="250">
        <f>MIN('COSS Losses'!G101/'Customer Usage database'!H$9,H87)</f>
        <v>364.05828483819784</v>
      </c>
      <c r="I56" s="250">
        <f>MIN('COSS Losses'!H101/'Customer Usage database'!I$9,I87)</f>
        <v>7416.69273300407</v>
      </c>
      <c r="J56" s="250">
        <f>MIN('COSS Losses'!I101/'Customer Usage database'!J$9*$J$1,J87)</f>
        <v>8420.51218320945</v>
      </c>
      <c r="K56" s="250">
        <f>MIN('COSS Losses'!J101/'Customer Usage database'!K$9,K87)</f>
        <v>2.302477184378057</v>
      </c>
    </row>
    <row r="57" spans="1:11" ht="15">
      <c r="A57" s="194"/>
      <c r="B57" s="194"/>
      <c r="C57" s="249">
        <f aca="true" t="shared" si="3" ref="C57:K57">MAX(C45:C56)</f>
        <v>2.240341668025647</v>
      </c>
      <c r="D57" s="249">
        <f t="shared" si="3"/>
        <v>1.648188636437422</v>
      </c>
      <c r="E57" s="249">
        <f t="shared" si="3"/>
        <v>39.92514520019592</v>
      </c>
      <c r="F57" s="249">
        <f t="shared" si="3"/>
        <v>3484.615459513863</v>
      </c>
      <c r="G57" s="249">
        <f t="shared" si="3"/>
        <v>18.423019517849248</v>
      </c>
      <c r="H57" s="249">
        <f t="shared" si="3"/>
        <v>371.16080247943074</v>
      </c>
      <c r="I57" s="249">
        <f t="shared" si="3"/>
        <v>7804.822249042212</v>
      </c>
      <c r="J57" s="249">
        <f t="shared" si="3"/>
        <v>8699.163129273822</v>
      </c>
      <c r="K57" s="249">
        <f t="shared" si="3"/>
        <v>2.302477184378057</v>
      </c>
    </row>
    <row r="58" spans="1:11" ht="15.75">
      <c r="A58" s="6" t="s">
        <v>273</v>
      </c>
      <c r="C58" s="1"/>
      <c r="D58" s="1"/>
      <c r="E58" s="1"/>
      <c r="F58" s="1"/>
      <c r="G58" s="1"/>
      <c r="H58" s="1"/>
      <c r="I58" s="1"/>
      <c r="J58" s="1"/>
      <c r="K58" s="1"/>
    </row>
    <row r="59" spans="3:11" ht="15">
      <c r="C59" s="1"/>
      <c r="D59" s="1"/>
      <c r="E59" s="1"/>
      <c r="F59" s="1"/>
      <c r="G59" s="1"/>
      <c r="H59" s="1"/>
      <c r="I59" s="1"/>
      <c r="J59" s="1"/>
      <c r="K59" s="1"/>
    </row>
    <row r="60" spans="1:11" ht="15">
      <c r="A60" t="s">
        <v>4</v>
      </c>
      <c r="B60">
        <v>31</v>
      </c>
      <c r="C60" s="8">
        <f>'Customer Usage database'!C28/(C45*$B60*24)</f>
        <v>0.7061602940271208</v>
      </c>
      <c r="D60" s="8">
        <f>'Customer Usage database'!D28/(D45*$B60*24)</f>
        <v>0.887457717382234</v>
      </c>
      <c r="E60" s="8">
        <f>'Customer Usage database'!E28/(E45*$B60*24)</f>
        <v>0.6907554715745623</v>
      </c>
      <c r="F60" s="8">
        <f>'Customer Usage database'!F28/(F45*$B60*24)</f>
        <v>0.8665610822652505</v>
      </c>
      <c r="G60" s="8">
        <f>'Customer Usage database'!G28/(G45*$B60*24)</f>
        <v>0.767796231483927</v>
      </c>
      <c r="H60" s="8">
        <f>'Customer Usage database'!H28/(H45*$B60*24)</f>
        <v>0.7988296059746491</v>
      </c>
      <c r="I60" s="8">
        <f>'Customer Usage database'!I28/(I45*$B60*24)</f>
        <v>0.9215670827852069</v>
      </c>
      <c r="J60" s="8"/>
      <c r="K60" s="8">
        <f>'Customer Usage database'!K28/(K45*$B60*24)</f>
        <v>0.793338753700904</v>
      </c>
    </row>
    <row r="61" spans="1:11" ht="15">
      <c r="A61" t="s">
        <v>5</v>
      </c>
      <c r="B61">
        <v>28</v>
      </c>
      <c r="C61" s="8">
        <f>'Customer Usage database'!C29/(C46*$B61*24)</f>
        <v>0.6447460341024872</v>
      </c>
      <c r="D61" s="8">
        <f>'Customer Usage database'!D29/(D46*$B61*24)</f>
        <v>0.9592018093284146</v>
      </c>
      <c r="E61" s="8">
        <f>'Customer Usage database'!E29/(E46*$B61*24)</f>
        <v>0.8094289036953058</v>
      </c>
      <c r="F61" s="8">
        <f>'Customer Usage database'!F29/(F46*$B61*24)</f>
        <v>0.9067714891674336</v>
      </c>
      <c r="G61" s="8">
        <f>'Customer Usage database'!G29/(G46*$B61*24)</f>
        <v>0.8664388015009825</v>
      </c>
      <c r="H61" s="8">
        <f>'Customer Usage database'!H29/(H46*$B61*24)</f>
        <v>0.8247175586819723</v>
      </c>
      <c r="I61" s="8">
        <f>'Customer Usage database'!I29/(I46*$B61*24)</f>
        <v>0.9002409245166286</v>
      </c>
      <c r="J61" s="8"/>
      <c r="K61" s="8">
        <f>'Customer Usage database'!K29/(K46*$B61*24)</f>
        <v>0.5849856662910518</v>
      </c>
    </row>
    <row r="62" spans="1:11" ht="15">
      <c r="A62" t="s">
        <v>6</v>
      </c>
      <c r="B62">
        <v>31</v>
      </c>
      <c r="C62" s="8">
        <f>'Customer Usage database'!C30/(C47*$B62*24)</f>
        <v>0.7318393798233944</v>
      </c>
      <c r="D62" s="8">
        <f>'Customer Usage database'!D30/(D47*$B62*24)</f>
        <v>0.7717371424056878</v>
      </c>
      <c r="E62" s="8">
        <f>'Customer Usage database'!E30/(E47*$B62*24)</f>
        <v>0.7264572962045301</v>
      </c>
      <c r="F62" s="8">
        <f>'Customer Usage database'!F30/(F47*$B62*24)</f>
        <v>0.8302691515068138</v>
      </c>
      <c r="G62" s="8">
        <f>'Customer Usage database'!G30/(G47*$B62*24)</f>
        <v>0.783506535703282</v>
      </c>
      <c r="H62" s="8">
        <f>'Customer Usage database'!H30/(H47*$B62*24)</f>
        <v>0.8812625988371072</v>
      </c>
      <c r="I62" s="8">
        <f>'Customer Usage database'!I30/(I47*$B62*24)</f>
        <v>0.9363706113844408</v>
      </c>
      <c r="J62" s="8"/>
      <c r="K62" s="8">
        <f>'Customer Usage database'!K30/(K47*$B62*24)</f>
        <v>4.623531933221058</v>
      </c>
    </row>
    <row r="63" spans="1:11" ht="15">
      <c r="A63" t="s">
        <v>7</v>
      </c>
      <c r="B63">
        <v>30</v>
      </c>
      <c r="C63" s="8">
        <f>'Customer Usage database'!C31/(C48*$B63*24)</f>
        <v>0.6636088015630708</v>
      </c>
      <c r="D63" s="8">
        <f>'Customer Usage database'!D31/(D48*$B63*24)</f>
        <v>1.1919179734954706</v>
      </c>
      <c r="E63" s="8">
        <f>'Customer Usage database'!E31/(E48*$B63*24)</f>
        <v>0.8103414493909885</v>
      </c>
      <c r="F63" s="8">
        <f>'Customer Usage database'!F31/(F48*$B63*24)</f>
        <v>0.8937532571113873</v>
      </c>
      <c r="G63" s="8">
        <f>'Customer Usage database'!G31/(G48*$B63*24)</f>
        <v>0.894470174339038</v>
      </c>
      <c r="H63" s="8">
        <f>'Customer Usage database'!H31/(H48*$B63*24)</f>
        <v>0.9140737726493876</v>
      </c>
      <c r="I63" s="8">
        <f>'Customer Usage database'!I31/(I48*$B63*24)</f>
        <v>0.9338969680588706</v>
      </c>
      <c r="J63" s="8"/>
      <c r="K63" s="8">
        <f>'Customer Usage database'!K31/(K48*$B63*24)</f>
        <v>3.949396038069008</v>
      </c>
    </row>
    <row r="64" spans="1:11" ht="15">
      <c r="A64" t="s">
        <v>8</v>
      </c>
      <c r="B64">
        <v>31</v>
      </c>
      <c r="C64" s="8">
        <f>'Customer Usage database'!C32/(C49*$B64*24)</f>
        <v>0.7267497062390291</v>
      </c>
      <c r="D64" s="8">
        <f>'Customer Usage database'!D32/(D49*$B64*24)</f>
        <v>0.7408873269448277</v>
      </c>
      <c r="E64" s="8">
        <f>'Customer Usage database'!E32/(E49*$B64*24)</f>
        <v>0.7294724601393241</v>
      </c>
      <c r="F64" s="8">
        <f>'Customer Usage database'!F32/(F49*$B64*24)</f>
        <v>0.7676842903944445</v>
      </c>
      <c r="G64" s="8">
        <f>'Customer Usage database'!G32/(G49*$B64*24)</f>
        <v>0.6855745618023202</v>
      </c>
      <c r="H64" s="8">
        <f>'Customer Usage database'!H32/(H49*$B64*24)</f>
        <v>0.8113763813594689</v>
      </c>
      <c r="I64" s="8">
        <f>'Customer Usage database'!I32/(I49*$B64*24)</f>
        <v>0.9393906932758967</v>
      </c>
      <c r="J64" s="8"/>
      <c r="K64" s="8">
        <f>'Customer Usage database'!K32/(K49*$B64*24)</f>
        <v>3.1424649756246352</v>
      </c>
    </row>
    <row r="65" spans="1:11" ht="15">
      <c r="A65" t="s">
        <v>9</v>
      </c>
      <c r="B65">
        <v>30</v>
      </c>
      <c r="C65" s="8">
        <f>'Customer Usage database'!C33/(C50*$B65*24)</f>
        <v>0.5859789365937812</v>
      </c>
      <c r="D65" s="8">
        <f>'Customer Usage database'!D33/(D50*$B65*24)</f>
        <v>0.923410524651377</v>
      </c>
      <c r="E65" s="8">
        <f>'Customer Usage database'!E33/(E50*$B65*24)</f>
        <v>0.8643620196403757</v>
      </c>
      <c r="F65" s="8">
        <f>'Customer Usage database'!F33/(F50*$B65*24)</f>
        <v>0.9377146949005877</v>
      </c>
      <c r="G65" s="8">
        <f>'Customer Usage database'!G33/(G50*$B65*24)</f>
        <v>0.9312852211294296</v>
      </c>
      <c r="H65" s="8">
        <f>'Customer Usage database'!H33/(H50*$B65*24)</f>
        <v>0.9010729742055584</v>
      </c>
      <c r="I65" s="8">
        <f>'Customer Usage database'!I33/(I50*$B65*24)</f>
        <v>0.8971757804918914</v>
      </c>
      <c r="J65" s="8"/>
      <c r="K65" s="8">
        <f>'Customer Usage database'!K33/(K50*$B65*24)</f>
        <v>3.3887071485165423</v>
      </c>
    </row>
    <row r="66" spans="1:11" ht="15">
      <c r="A66" t="s">
        <v>10</v>
      </c>
      <c r="B66">
        <v>31</v>
      </c>
      <c r="C66" s="8">
        <f>'Customer Usage database'!C34/(C51*$B66*24)</f>
        <v>0.8046674294489505</v>
      </c>
      <c r="D66" s="8">
        <f>'Customer Usage database'!D34/(D51*$B66*24)</f>
        <v>0.6342605272652697</v>
      </c>
      <c r="E66" s="8">
        <f>'Customer Usage database'!E34/(E51*$B66*24)</f>
        <v>0.6899793513617974</v>
      </c>
      <c r="F66" s="8">
        <f>'Customer Usage database'!F34/(F51*$B66*24)</f>
        <v>0.7533472950775643</v>
      </c>
      <c r="G66" s="8">
        <f>'Customer Usage database'!G34/(G51*$B66*24)</f>
        <v>0.7207008636271405</v>
      </c>
      <c r="H66" s="8">
        <f>'Customer Usage database'!H34/(H51*$B66*24)</f>
        <v>0.7733217511168311</v>
      </c>
      <c r="I66" s="8">
        <f>'Customer Usage database'!I34/(I51*$B66*24)</f>
        <v>0.8461007254127909</v>
      </c>
      <c r="J66" s="8"/>
      <c r="K66" s="8">
        <f>'Customer Usage database'!K34/(K51*$B66*24)</f>
        <v>2.9301226819398045</v>
      </c>
    </row>
    <row r="67" spans="1:11" ht="15">
      <c r="A67" t="s">
        <v>11</v>
      </c>
      <c r="B67">
        <v>31</v>
      </c>
      <c r="C67" s="8">
        <f>'Customer Usage database'!C35/(C52*$B67*24)</f>
        <v>0.7178056043877112</v>
      </c>
      <c r="D67" s="8">
        <f>'Customer Usage database'!D35/(D52*$B67*24)</f>
        <v>0.6802493513039821</v>
      </c>
      <c r="E67" s="8">
        <f>'Customer Usage database'!E35/(E52*$B67*24)</f>
        <v>0.6551541727318414</v>
      </c>
      <c r="F67" s="8">
        <f>'Customer Usage database'!F35/(F52*$B67*24)</f>
        <v>0.7308814119390267</v>
      </c>
      <c r="G67" s="8">
        <f>'Customer Usage database'!G35/(G52*$B67*24)</f>
        <v>0.7446540777206138</v>
      </c>
      <c r="H67" s="8">
        <f>'Customer Usage database'!H35/(H52*$B67*24)</f>
        <v>0.8180566930407723</v>
      </c>
      <c r="I67" s="8">
        <f>'Customer Usage database'!I35/(I52*$B67*24)</f>
        <v>0.8959902989890381</v>
      </c>
      <c r="J67" s="8"/>
      <c r="K67" s="8">
        <f>'Customer Usage database'!K35/(K52*$B67*24)</f>
        <v>3.3429649032702735</v>
      </c>
    </row>
    <row r="68" spans="1:11" ht="15">
      <c r="A68" t="s">
        <v>12</v>
      </c>
      <c r="B68">
        <v>30</v>
      </c>
      <c r="C68" s="8">
        <f>'Customer Usage database'!C36/(C53*$B68*24)</f>
        <v>0.7291505991773085</v>
      </c>
      <c r="D68" s="8">
        <f>'Customer Usage database'!D36/(D53*$B68*24)</f>
        <v>0.6704943340124433</v>
      </c>
      <c r="E68" s="8">
        <f>'Customer Usage database'!E36/(E53*$B68*24)</f>
        <v>0.6120868175194536</v>
      </c>
      <c r="F68" s="8">
        <f>'Customer Usage database'!F36/(F53*$B68*24)</f>
        <v>0.6923599081792171</v>
      </c>
      <c r="G68" s="8">
        <f>'Customer Usage database'!G36/(G53*$B68*24)</f>
        <v>0.755098951131597</v>
      </c>
      <c r="H68" s="8">
        <f>'Customer Usage database'!H36/(H53*$B68*24)</f>
        <v>0.8180830323769431</v>
      </c>
      <c r="I68" s="8">
        <f>'Customer Usage database'!I36/(I53*$B68*24)</f>
        <v>0.868645621091816</v>
      </c>
      <c r="J68" s="8">
        <f>'Customer Usage database'!J36/(J53*$B68*24)</f>
        <v>0.8559047447401796</v>
      </c>
      <c r="K68" s="8">
        <f>'Customer Usage database'!K36/(K53*$B68*24)</f>
        <v>3.9380975110039147</v>
      </c>
    </row>
    <row r="69" spans="1:11" ht="15">
      <c r="A69" t="s">
        <v>13</v>
      </c>
      <c r="B69">
        <v>31</v>
      </c>
      <c r="C69" s="8">
        <f>'Customer Usage database'!C37/(C54*$B69*24)</f>
        <v>0.6680396503056106</v>
      </c>
      <c r="D69" s="8">
        <f>'Customer Usage database'!D37/(D54*$B69*24)</f>
        <v>0.822982836912688</v>
      </c>
      <c r="E69" s="8">
        <f>'Customer Usage database'!E37/(E54*$B69*24)</f>
        <v>0.7180745669773912</v>
      </c>
      <c r="F69" s="8">
        <f>'Customer Usage database'!F37/(F54*$B69*24)</f>
        <v>0.8167782789603993</v>
      </c>
      <c r="G69" s="8">
        <f>'Customer Usage database'!G37/(G54*$B69*24)</f>
        <v>0.626701499765696</v>
      </c>
      <c r="H69" s="8">
        <f>'Customer Usage database'!H37/(H54*$B69*24)</f>
        <v>0.791897244473601</v>
      </c>
      <c r="I69" s="8">
        <f>'Customer Usage database'!I37/(I54*$B69*24)</f>
        <v>0.9134818072309054</v>
      </c>
      <c r="J69" s="8">
        <f>'Customer Usage database'!J37/(J54*$B69*24)</f>
        <v>0.8922796460554404</v>
      </c>
      <c r="K69" s="8">
        <f>'Customer Usage database'!K37/(K54*$B69*24)</f>
        <v>4.853843799551695</v>
      </c>
    </row>
    <row r="70" spans="1:11" ht="15">
      <c r="A70" t="s">
        <v>14</v>
      </c>
      <c r="B70">
        <v>30</v>
      </c>
      <c r="C70" s="8">
        <f>'Customer Usage database'!C38/(C55*$B70*24)</f>
        <v>0.6298417175756508</v>
      </c>
      <c r="D70" s="8">
        <f>'Customer Usage database'!D38/(D55*$B70*24)</f>
        <v>0.8358240164203115</v>
      </c>
      <c r="E70" s="8">
        <f>'Customer Usage database'!E38/(E55*$B70*24)</f>
        <v>0.7708204524395871</v>
      </c>
      <c r="F70" s="8">
        <f>'Customer Usage database'!F38/(F55*$B70*24)</f>
        <v>0.8364506271799995</v>
      </c>
      <c r="G70" s="8">
        <f>'Customer Usage database'!G38/(G55*$B70*24)</f>
        <v>0.8619251820689854</v>
      </c>
      <c r="H70" s="8">
        <f>'Customer Usage database'!H38/(H55*$B70*24)</f>
        <v>0.8154453808826034</v>
      </c>
      <c r="I70" s="8">
        <f>'Customer Usage database'!I38/(I55*$B70*24)</f>
        <v>1.1355763096895608</v>
      </c>
      <c r="J70" s="8">
        <f>'Customer Usage database'!J38/(J55*$B70*24)</f>
        <v>1.11400366128507</v>
      </c>
      <c r="K70" s="8">
        <f>'Customer Usage database'!K38/(K55*$B70*24)</f>
        <v>0.814958864732829</v>
      </c>
    </row>
    <row r="71" spans="1:11" ht="15">
      <c r="A71" t="s">
        <v>15</v>
      </c>
      <c r="B71">
        <v>31</v>
      </c>
      <c r="C71" s="11">
        <f>'Customer Usage database'!C39/(C56*$B71*24)</f>
        <v>0.677653782082973</v>
      </c>
      <c r="D71" s="11">
        <f>'Customer Usage database'!D39/(D56*$B71*24)</f>
        <v>0.8575485599236365</v>
      </c>
      <c r="E71" s="11">
        <f>'Customer Usage database'!E39/(E56*$B71*24)</f>
        <v>0.7404785661462014</v>
      </c>
      <c r="F71" s="11">
        <f>'Customer Usage database'!F39/(F56*$B71*24)</f>
        <v>0.8021454403127819</v>
      </c>
      <c r="G71" s="11">
        <f>'Customer Usage database'!G39/(G56*$B71*24)</f>
        <v>0.9525803769394797</v>
      </c>
      <c r="H71" s="11">
        <f>'Customer Usage database'!H39/(H56*$B71*24)</f>
        <v>0.773293260016885</v>
      </c>
      <c r="I71" s="11">
        <f>'Customer Usage database'!I39/(I56*$B71*24)</f>
        <v>0.7284670202869735</v>
      </c>
      <c r="J71" s="11">
        <f>'Customer Usage database'!J39/(J56*$B71*24)</f>
        <v>0.7046588824761562</v>
      </c>
      <c r="K71" s="11">
        <f>'Customer Usage database'!K39/(K56*$B71*24)</f>
        <v>0.6439597324291998</v>
      </c>
    </row>
    <row r="72" spans="2:11" ht="15">
      <c r="B72">
        <f>SUM(B60:B71)</f>
        <v>365</v>
      </c>
      <c r="C72" s="8">
        <f>'Customer Usage database'!C40/(C57*$B72*24)</f>
        <v>0.47014298304471913</v>
      </c>
      <c r="D72" s="8">
        <f>'Customer Usage database'!D40/(D57*$B72*24)</f>
        <v>0.6798740234720329</v>
      </c>
      <c r="E72" s="8">
        <f>'Customer Usage database'!E40/(E57*$B72*24)</f>
        <v>0.6169141348723285</v>
      </c>
      <c r="F72" s="8">
        <f>'Customer Usage database'!F40/(F57*$B72*24)</f>
        <v>0.6545907867404642</v>
      </c>
      <c r="G72" s="8">
        <f>'Customer Usage database'!G40/(G57*$B72*24)</f>
        <v>0.7139113416739664</v>
      </c>
      <c r="H72" s="8">
        <f>'Customer Usage database'!H40/(H57*$B72*24)</f>
        <v>0.7695470903037404</v>
      </c>
      <c r="I72" s="8">
        <f>'Customer Usage database'!I40/(I57*$B72*24)</f>
        <v>0.7964518251758155</v>
      </c>
      <c r="J72" s="8">
        <f>'Customer Usage database'!J40/(J57*$B72*24)</f>
        <v>0.2643736917655405</v>
      </c>
      <c r="K72" s="8">
        <f>'Customer Usage database'!K40/(K57*$B72*24)</f>
        <v>0.5071815826534211</v>
      </c>
    </row>
    <row r="73" spans="3:11" ht="15">
      <c r="C73" s="1"/>
      <c r="D73" s="1"/>
      <c r="E73" s="1"/>
      <c r="F73" s="1"/>
      <c r="G73" s="1"/>
      <c r="H73" s="1"/>
      <c r="I73" s="1"/>
      <c r="J73" s="1"/>
      <c r="K73" s="1"/>
    </row>
    <row r="74" spans="1:11" ht="15.75">
      <c r="A74" s="6" t="s">
        <v>269</v>
      </c>
      <c r="C74" s="1"/>
      <c r="D74" s="1"/>
      <c r="E74" s="210"/>
      <c r="F74" s="210"/>
      <c r="G74" s="210"/>
      <c r="H74" s="210"/>
      <c r="I74" s="210"/>
      <c r="J74" s="210"/>
      <c r="K74" s="1"/>
    </row>
    <row r="75" spans="3:11" ht="15.75">
      <c r="C75" s="1"/>
      <c r="D75" s="1"/>
      <c r="E75" s="253"/>
      <c r="F75" s="253"/>
      <c r="G75" s="253"/>
      <c r="H75" s="253"/>
      <c r="I75" s="253"/>
      <c r="J75" s="253"/>
      <c r="K75" s="254"/>
    </row>
    <row r="76" spans="1:11" ht="15">
      <c r="A76" t="s">
        <v>4</v>
      </c>
      <c r="C76" s="1">
        <v>2.216953490705568</v>
      </c>
      <c r="D76" s="1">
        <v>2.2566501112161457</v>
      </c>
      <c r="E76" s="1">
        <v>58.32316678361337</v>
      </c>
      <c r="F76" s="1">
        <v>3461.2685960367126</v>
      </c>
      <c r="G76" s="1">
        <v>36.24425629392835</v>
      </c>
      <c r="H76" s="1">
        <v>641.1628510942518</v>
      </c>
      <c r="I76" s="1">
        <v>10151.17294946053</v>
      </c>
      <c r="J76" s="1"/>
      <c r="K76" s="1">
        <v>2.3019683984919372</v>
      </c>
    </row>
    <row r="77" spans="1:11" ht="15">
      <c r="A77" t="s">
        <v>5</v>
      </c>
      <c r="C77" s="1">
        <v>2.2681854428082855</v>
      </c>
      <c r="D77" s="1">
        <v>2.3940200484592777</v>
      </c>
      <c r="E77" s="1">
        <v>57.06658131510351</v>
      </c>
      <c r="F77" s="1">
        <v>3533.8308266417166</v>
      </c>
      <c r="G77" s="1">
        <v>35.17716904152251</v>
      </c>
      <c r="H77" s="1">
        <v>586.4092583925229</v>
      </c>
      <c r="I77" s="1">
        <v>10354.368613006467</v>
      </c>
      <c r="J77" s="1"/>
      <c r="K77" s="1">
        <v>2.300849069542475</v>
      </c>
    </row>
    <row r="78" spans="1:11" ht="15">
      <c r="A78" t="s">
        <v>6</v>
      </c>
      <c r="C78" s="1">
        <v>1.9415904152417531</v>
      </c>
      <c r="D78" s="1">
        <v>2.094738868740432</v>
      </c>
      <c r="E78" s="1">
        <v>51.14027402564109</v>
      </c>
      <c r="F78" s="1">
        <v>3500.133138796836</v>
      </c>
      <c r="G78" s="1">
        <v>31.12707428435057</v>
      </c>
      <c r="H78" s="1">
        <v>549.2204774873226</v>
      </c>
      <c r="I78" s="1">
        <v>9527.89554934086</v>
      </c>
      <c r="J78" s="1"/>
      <c r="K78" s="1">
        <v>2.3021379937873108</v>
      </c>
    </row>
    <row r="79" spans="1:11" ht="15">
      <c r="A79" t="s">
        <v>7</v>
      </c>
      <c r="C79" s="1">
        <v>1.723263248676776</v>
      </c>
      <c r="D79" s="1">
        <v>1.841950171734839</v>
      </c>
      <c r="E79" s="1">
        <v>45.84486085329059</v>
      </c>
      <c r="F79" s="1">
        <v>3322.0991262750867</v>
      </c>
      <c r="G79" s="1">
        <v>32.0751006100237</v>
      </c>
      <c r="H79" s="1">
        <v>575.0255317488154</v>
      </c>
      <c r="I79" s="1">
        <v>10167.559866675496</v>
      </c>
      <c r="J79" s="1"/>
      <c r="K79" s="1">
        <v>2.3021634330816165</v>
      </c>
    </row>
    <row r="80" spans="1:11" ht="15">
      <c r="A80" t="s">
        <v>8</v>
      </c>
      <c r="C80" s="1">
        <v>1.4730868205758567</v>
      </c>
      <c r="D80" s="1">
        <v>1.6474739311142035</v>
      </c>
      <c r="E80" s="1">
        <v>43.15932692544258</v>
      </c>
      <c r="F80" s="1">
        <v>3561.51993157832</v>
      </c>
      <c r="G80" s="1">
        <v>33.826081447956696</v>
      </c>
      <c r="H80" s="1">
        <v>586.220840455208</v>
      </c>
      <c r="I80" s="1">
        <v>9457.410012403183</v>
      </c>
      <c r="J80" s="1"/>
      <c r="K80" s="1">
        <v>2.302095594963468</v>
      </c>
    </row>
    <row r="81" spans="1:11" ht="15">
      <c r="A81" t="s">
        <v>9</v>
      </c>
      <c r="C81" s="1">
        <v>1.4565717029870302</v>
      </c>
      <c r="D81" s="1">
        <v>1.6686517834769103</v>
      </c>
      <c r="E81" s="1">
        <v>46.36711908290736</v>
      </c>
      <c r="F81" s="1">
        <v>3657.014703353241</v>
      </c>
      <c r="G81" s="1">
        <v>36.557227721024894</v>
      </c>
      <c r="H81" s="1">
        <v>608.9751805059446</v>
      </c>
      <c r="I81" s="1">
        <v>10396.025628736224</v>
      </c>
      <c r="J81" s="1"/>
      <c r="K81" s="1">
        <v>2.302112554493004</v>
      </c>
    </row>
    <row r="82" spans="1:11" ht="15">
      <c r="A82" t="s">
        <v>10</v>
      </c>
      <c r="C82" s="1">
        <v>1.2701543019754704</v>
      </c>
      <c r="D82" s="1">
        <v>1.6091751367916407</v>
      </c>
      <c r="E82" s="1">
        <v>47.69438668487038</v>
      </c>
      <c r="F82" s="1">
        <v>3906.5694126251633</v>
      </c>
      <c r="G82" s="1">
        <v>37.09566943316991</v>
      </c>
      <c r="H82" s="1">
        <v>622.5545779243982</v>
      </c>
      <c r="I82" s="1">
        <v>10598.158600381863</v>
      </c>
      <c r="J82" s="1"/>
      <c r="K82" s="1">
        <v>2.3019514389624</v>
      </c>
    </row>
    <row r="83" spans="1:11" ht="15">
      <c r="A83" t="s">
        <v>11</v>
      </c>
      <c r="C83" s="1">
        <v>1.2774706564420433</v>
      </c>
      <c r="D83" s="1">
        <v>1.7103223621732215</v>
      </c>
      <c r="E83" s="1">
        <v>50.46932513495084</v>
      </c>
      <c r="F83" s="1">
        <v>4199.044670871265</v>
      </c>
      <c r="G83" s="1">
        <v>38.693863926931975</v>
      </c>
      <c r="H83" s="1">
        <v>610.4871235153416</v>
      </c>
      <c r="I83" s="1">
        <v>10947.275859742333</v>
      </c>
      <c r="J83" s="1"/>
      <c r="K83" s="1">
        <v>2.3021210342577736</v>
      </c>
    </row>
    <row r="84" spans="1:11" ht="15">
      <c r="A84" t="s">
        <v>12</v>
      </c>
      <c r="C84" s="1">
        <v>1.209350153678828</v>
      </c>
      <c r="D84" s="1">
        <v>1.5710373774022364</v>
      </c>
      <c r="E84" s="1">
        <v>51.96037714046399</v>
      </c>
      <c r="F84" s="1">
        <v>4269.759881141887</v>
      </c>
      <c r="G84" s="1">
        <v>36.958345373679144</v>
      </c>
      <c r="H84" s="1">
        <v>631.1431735932592</v>
      </c>
      <c r="I84" s="1">
        <v>11580.251416295177</v>
      </c>
      <c r="J84" s="1">
        <v>12457.237208752456</v>
      </c>
      <c r="K84" s="1">
        <v>2.3022058319054604</v>
      </c>
    </row>
    <row r="85" spans="1:11" ht="15">
      <c r="A85" t="s">
        <v>13</v>
      </c>
      <c r="C85" s="1">
        <v>1.4581257566624566</v>
      </c>
      <c r="D85" s="1">
        <v>1.6095458416812511</v>
      </c>
      <c r="E85" s="1">
        <v>48.91840253820106</v>
      </c>
      <c r="F85" s="1">
        <v>4061.6925301386977</v>
      </c>
      <c r="G85" s="1">
        <v>34.48892149979737</v>
      </c>
      <c r="H85" s="1">
        <v>594.0591273757839</v>
      </c>
      <c r="I85" s="1">
        <v>9971.888291203279</v>
      </c>
      <c r="J85" s="1">
        <v>10727.07088966142</v>
      </c>
      <c r="K85" s="1">
        <v>2.3023669474360644</v>
      </c>
    </row>
    <row r="86" spans="1:11" ht="15">
      <c r="A86" t="s">
        <v>14</v>
      </c>
      <c r="C86" s="1">
        <v>1.6983655615471267</v>
      </c>
      <c r="D86" s="1">
        <v>1.8794816344664675</v>
      </c>
      <c r="E86" s="1">
        <v>47.82268023176705</v>
      </c>
      <c r="F86" s="1">
        <v>3501.8926425262</v>
      </c>
      <c r="G86" s="1">
        <v>34.92308167826366</v>
      </c>
      <c r="H86" s="1">
        <v>593.5574357953195</v>
      </c>
      <c r="I86" s="1">
        <v>10372.453238588036</v>
      </c>
      <c r="J86" s="1">
        <v>11157.97108238623</v>
      </c>
      <c r="K86" s="1">
        <v>2.3023584676712954</v>
      </c>
    </row>
    <row r="87" spans="1:11" ht="17.25">
      <c r="A87" t="s">
        <v>15</v>
      </c>
      <c r="C87" s="10">
        <v>2.1136829386480036</v>
      </c>
      <c r="D87" s="10">
        <v>2.4242777963604416</v>
      </c>
      <c r="E87" s="10">
        <v>53.983965900966005</v>
      </c>
      <c r="F87" s="10">
        <v>3614.5554930388157</v>
      </c>
      <c r="G87" s="10">
        <v>38.127777025433176</v>
      </c>
      <c r="H87" s="10">
        <v>659.7937274858774</v>
      </c>
      <c r="I87" s="10">
        <v>10852.215726448783</v>
      </c>
      <c r="J87" s="10">
        <v>11674.066536646635</v>
      </c>
      <c r="K87" s="10">
        <v>2.302477184378057</v>
      </c>
    </row>
    <row r="88" spans="3:11" ht="15">
      <c r="C88" s="1">
        <f aca="true" t="shared" si="4" ref="C88:K88">MAX(C76:C87)</f>
        <v>2.2681854428082855</v>
      </c>
      <c r="D88" s="1">
        <f t="shared" si="4"/>
        <v>2.4242777963604416</v>
      </c>
      <c r="E88" s="1">
        <f t="shared" si="4"/>
        <v>58.32316678361337</v>
      </c>
      <c r="F88" s="1">
        <f t="shared" si="4"/>
        <v>4269.759881141887</v>
      </c>
      <c r="G88" s="1">
        <f t="shared" si="4"/>
        <v>38.693863926931975</v>
      </c>
      <c r="H88" s="1">
        <f t="shared" si="4"/>
        <v>659.7937274858774</v>
      </c>
      <c r="I88" s="1">
        <f t="shared" si="4"/>
        <v>11580.251416295177</v>
      </c>
      <c r="J88" s="1">
        <f t="shared" si="4"/>
        <v>12457.237208752456</v>
      </c>
      <c r="K88" s="1">
        <f t="shared" si="4"/>
        <v>2.302477184378057</v>
      </c>
    </row>
    <row r="89" ht="15.75">
      <c r="A89" s="6" t="s">
        <v>272</v>
      </c>
    </row>
    <row r="91" spans="1:11" ht="15">
      <c r="A91" t="s">
        <v>4</v>
      </c>
      <c r="B91">
        <v>31</v>
      </c>
      <c r="C91" s="8">
        <f>'Customer Usage database'!C28/(C76*$B91*24)</f>
        <v>0.6783569801804461</v>
      </c>
      <c r="D91" s="8">
        <f>'Customer Usage database'!D28/(D76*$B91*24)</f>
        <v>0.6408477797235737</v>
      </c>
      <c r="E91" s="8">
        <f>'Customer Usage database'!E28/(E76*$B91*24)</f>
        <v>0.47285691126416574</v>
      </c>
      <c r="F91" s="8">
        <f>'Customer Usage database'!F28/(F76*$B91*24)</f>
        <v>0.6580566198941262</v>
      </c>
      <c r="G91" s="8">
        <f>'Customer Usage database'!G28/(G76*$B91*24)</f>
        <v>0.3733744158869534</v>
      </c>
      <c r="H91" s="8">
        <f>'Customer Usage database'!H28/(H76*$B91*24)</f>
        <v>0.45140469184947407</v>
      </c>
      <c r="I91" s="8">
        <f>'Customer Usage database'!I28/(I76*$B91*24)</f>
        <v>0.5892844054075399</v>
      </c>
      <c r="J91" s="8"/>
      <c r="K91" s="8">
        <f>'Customer Usage database'!K28/(K76*$B91*24)</f>
        <v>0.6231595866581625</v>
      </c>
    </row>
    <row r="92" spans="1:11" ht="15">
      <c r="A92" t="s">
        <v>5</v>
      </c>
      <c r="B92">
        <v>28</v>
      </c>
      <c r="C92" s="8">
        <f>'Customer Usage database'!C29/(C77*$B92*24)</f>
        <v>0.6368312653068098</v>
      </c>
      <c r="D92" s="8">
        <f>'Customer Usage database'!D29/(D77*$B92*24)</f>
        <v>0.6142175852785201</v>
      </c>
      <c r="E92" s="8">
        <f>'Customer Usage database'!E29/(E77*$B92*24)</f>
        <v>0.5042590024970409</v>
      </c>
      <c r="F92" s="8">
        <f>'Customer Usage database'!F29/(F77*$B92*24)</f>
        <v>0.671478462218227</v>
      </c>
      <c r="G92" s="8">
        <f>'Customer Usage database'!G29/(G77*$B92*24)</f>
        <v>0.40832379232663535</v>
      </c>
      <c r="H92" s="8">
        <f>'Customer Usage database'!H29/(H77*$B92*24)</f>
        <v>0.4930500158050325</v>
      </c>
      <c r="I92" s="8">
        <f>'Customer Usage database'!I29/(I77*$B92*24)</f>
        <v>0.5855573679765799</v>
      </c>
      <c r="J92" s="8"/>
      <c r="K92" s="8">
        <f>'Customer Usage database'!K29/(K77*$B92*24)</f>
        <v>0.5849856662910518</v>
      </c>
    </row>
    <row r="93" spans="1:11" ht="15">
      <c r="A93" t="s">
        <v>6</v>
      </c>
      <c r="B93">
        <v>31</v>
      </c>
      <c r="C93" s="8">
        <f>'Customer Usage database'!C30/(C78*$B93*24)</f>
        <v>0.672766225148913</v>
      </c>
      <c r="D93" s="8">
        <f>'Customer Usage database'!D30/(D78*$B93*24)</f>
        <v>0.6072205024746492</v>
      </c>
      <c r="E93" s="8">
        <f>'Customer Usage database'!E30/(E78*$B93*24)</f>
        <v>0.5238929785427359</v>
      </c>
      <c r="F93" s="8">
        <f>'Customer Usage database'!F30/(F78*$B93*24)</f>
        <v>0.6383326751589635</v>
      </c>
      <c r="G93" s="8">
        <f>'Customer Usage database'!G30/(G78*$B93*24)</f>
        <v>0.41803382307733233</v>
      </c>
      <c r="H93" s="8">
        <f>'Customer Usage database'!H30/(H78*$B93*24)</f>
        <v>0.5074292047985829</v>
      </c>
      <c r="I93" s="8">
        <f>'Customer Usage database'!I30/(I78*$B93*24)</f>
        <v>0.6040701558827921</v>
      </c>
      <c r="J93" s="8"/>
      <c r="K93" s="8">
        <f>'Customer Usage database'!K30/(K78*$B93*24)</f>
        <v>0.5223498433451996</v>
      </c>
    </row>
    <row r="94" spans="1:11" ht="15">
      <c r="A94" t="s">
        <v>7</v>
      </c>
      <c r="B94">
        <v>30</v>
      </c>
      <c r="C94" s="8">
        <f>'Customer Usage database'!C31/(C79*$B94*24)</f>
        <v>0.6262648249121039</v>
      </c>
      <c r="D94" s="8">
        <f>'Customer Usage database'!D31/(D79*$B94*24)</f>
        <v>0.6051976976244355</v>
      </c>
      <c r="E94" s="8">
        <f>'Customer Usage database'!E31/(E79*$B94*24)</f>
        <v>0.5242639848517836</v>
      </c>
      <c r="F94" s="8">
        <f>'Customer Usage database'!F31/(F79*$B94*24)</f>
        <v>0.6379172553634564</v>
      </c>
      <c r="G94" s="8">
        <f>'Customer Usage database'!G31/(G79*$B94*24)</f>
        <v>0.39993543312717794</v>
      </c>
      <c r="H94" s="8">
        <f>'Customer Usage database'!H31/(H79*$B94*24)</f>
        <v>0.4990774843981368</v>
      </c>
      <c r="I94" s="8">
        <f>'Customer Usage database'!I31/(I79*$B94*24)</f>
        <v>0.5852272024031583</v>
      </c>
      <c r="J94" s="8"/>
      <c r="K94" s="8">
        <f>'Customer Usage database'!K31/(K79*$B94*24)</f>
        <v>0.484018572738502</v>
      </c>
    </row>
    <row r="95" spans="1:11" ht="15">
      <c r="A95" t="s">
        <v>8</v>
      </c>
      <c r="B95">
        <v>31</v>
      </c>
      <c r="C95" s="8">
        <f>'Customer Usage database'!C32/(C80*$B95*24)</f>
        <v>0.6364855891116183</v>
      </c>
      <c r="D95" s="8">
        <f>'Customer Usage database'!D32/(D80*$B95*24)</f>
        <v>0.6000192679609333</v>
      </c>
      <c r="E95" s="8">
        <f>'Customer Usage database'!E32/(E80*$B95*24)</f>
        <v>0.5115632412913161</v>
      </c>
      <c r="F95" s="8">
        <f>'Customer Usage database'!F32/(F80*$B95*24)</f>
        <v>0.6028423003508205</v>
      </c>
      <c r="G95" s="8">
        <f>'Customer Usage database'!G32/(G80*$B95*24)</f>
        <v>0.36989283294069897</v>
      </c>
      <c r="H95" s="8">
        <f>'Customer Usage database'!H32/(H80*$B95*24)</f>
        <v>0.4681216970201435</v>
      </c>
      <c r="I95" s="8">
        <f>'Customer Usage database'!I32/(I80*$B95*24)</f>
        <v>0.6531346493577425</v>
      </c>
      <c r="J95" s="8"/>
      <c r="K95" s="8">
        <f>'Customer Usage database'!K32/(K80*$B95*24)</f>
        <v>0.4271193854747389</v>
      </c>
    </row>
    <row r="96" spans="1:11" ht="15">
      <c r="A96" t="s">
        <v>9</v>
      </c>
      <c r="B96">
        <v>30</v>
      </c>
      <c r="C96" s="8">
        <f>'Customer Usage database'!C33/(C81*$B96*24)</f>
        <v>0.5446435477882196</v>
      </c>
      <c r="D96" s="8">
        <f>'Customer Usage database'!D33/(D81*$B96*24)</f>
        <v>0.5829387804185251</v>
      </c>
      <c r="E96" s="8">
        <f>'Customer Usage database'!E33/(E81*$B96*24)</f>
        <v>0.4983041230068472</v>
      </c>
      <c r="F96" s="8">
        <f>'Customer Usage database'!F33/(F81*$B96*24)</f>
        <v>0.6028381686861847</v>
      </c>
      <c r="G96" s="8">
        <f>'Customer Usage database'!G33/(G81*$B96*24)</f>
        <v>0.3692052999994755</v>
      </c>
      <c r="H96" s="8">
        <f>'Customer Usage database'!H33/(H81*$B96*24)</f>
        <v>0.4874863275544825</v>
      </c>
      <c r="I96" s="8">
        <f>'Customer Usage database'!I33/(I81*$B96*24)</f>
        <v>0.5914825453594984</v>
      </c>
      <c r="J96" s="8"/>
      <c r="K96" s="8">
        <f>'Customer Usage database'!K33/(K81*$B96*24)</f>
        <v>0.39293069530812114</v>
      </c>
    </row>
    <row r="97" spans="1:11" ht="15">
      <c r="A97" t="s">
        <v>10</v>
      </c>
      <c r="B97">
        <v>31</v>
      </c>
      <c r="C97" s="8">
        <f>'Customer Usage database'!C34/(C82*$B97*24)</f>
        <v>0.6075384167555992</v>
      </c>
      <c r="D97" s="8">
        <f>'Customer Usage database'!D34/(D82*$B97*24)</f>
        <v>0.6028693372929732</v>
      </c>
      <c r="E97" s="8">
        <f>'Customer Usage database'!E34/(E82*$B97*24)</f>
        <v>0.5054286694501624</v>
      </c>
      <c r="F97" s="8">
        <f>'Customer Usage database'!F34/(F82*$B97*24)</f>
        <v>0.6336712989610581</v>
      </c>
      <c r="G97" s="8">
        <f>'Customer Usage database'!G34/(G82*$B97*24)</f>
        <v>0.357925501278628</v>
      </c>
      <c r="H97" s="8">
        <f>'Customer Usage database'!H34/(H82*$B97*24)</f>
        <v>0.46104668072038113</v>
      </c>
      <c r="I97" s="8">
        <f>'Customer Usage database'!I34/(I82*$B97*24)</f>
        <v>0.6116250499081684</v>
      </c>
      <c r="J97" s="8"/>
      <c r="K97" s="8">
        <f>'Customer Usage database'!K34/(K82*$B97*24)</f>
        <v>0.39629890140936913</v>
      </c>
    </row>
    <row r="98" spans="1:11" ht="15">
      <c r="A98" t="s">
        <v>11</v>
      </c>
      <c r="B98">
        <v>31</v>
      </c>
      <c r="C98" s="8">
        <f>'Customer Usage database'!C35/(C83*$B98*24)</f>
        <v>0.5915960593015691</v>
      </c>
      <c r="D98" s="8">
        <f>'Customer Usage database'!D35/(D83*$B98*24)</f>
        <v>0.5710092984937901</v>
      </c>
      <c r="E98" s="8">
        <f>'Customer Usage database'!E35/(E83*$B98*24)</f>
        <v>0.46404359468761924</v>
      </c>
      <c r="F98" s="8">
        <f>'Customer Usage database'!F35/(F83*$B98*24)</f>
        <v>0.5959694436317973</v>
      </c>
      <c r="G98" s="8">
        <f>'Customer Usage database'!G35/(G83*$B98*24)</f>
        <v>0.34249689324527594</v>
      </c>
      <c r="H98" s="8">
        <f>'Customer Usage database'!H35/(H83*$B98*24)</f>
        <v>0.47066817106314673</v>
      </c>
      <c r="I98" s="8">
        <f>'Customer Usage database'!I35/(I83*$B98*24)</f>
        <v>0.6350438450231909</v>
      </c>
      <c r="J98" s="8"/>
      <c r="K98" s="8">
        <f>'Customer Usage database'!K35/(K83*$B98*24)</f>
        <v>0.43035332686970906</v>
      </c>
    </row>
    <row r="99" spans="1:11" ht="15">
      <c r="A99" t="s">
        <v>12</v>
      </c>
      <c r="B99">
        <v>30</v>
      </c>
      <c r="C99" s="8">
        <f>'Customer Usage database'!C36/(C84*$B99*24)</f>
        <v>0.6468131195047505</v>
      </c>
      <c r="D99" s="8">
        <f>'Customer Usage database'!D36/(D84*$B99*24)</f>
        <v>0.5815769523782099</v>
      </c>
      <c r="E99" s="8">
        <f>'Customer Usage database'!E36/(E84*$B99*24)</f>
        <v>0.4312759826412484</v>
      </c>
      <c r="F99" s="8">
        <f>'Customer Usage database'!F36/(F84*$B99*24)</f>
        <v>0.5650453671281582</v>
      </c>
      <c r="G99" s="8">
        <f>'Customer Usage database'!G36/(G84*$B99*24)</f>
        <v>0.34635394599615177</v>
      </c>
      <c r="H99" s="8">
        <f>'Customer Usage database'!H36/(H84*$B99*24)</f>
        <v>0.45821037895651234</v>
      </c>
      <c r="I99" s="8">
        <f>'Customer Usage database'!I36/(I84*$B99*24)</f>
        <v>0.5854471052753252</v>
      </c>
      <c r="J99" s="8">
        <f>'Customer Usage database'!J36/(J84*$B99*24)</f>
        <v>0.5976971356363814</v>
      </c>
      <c r="K99" s="8">
        <f>'Customer Usage database'!K36/(K84*$B99*24)</f>
        <v>0.4809431562345595</v>
      </c>
    </row>
    <row r="100" spans="1:11" ht="15">
      <c r="A100" t="s">
        <v>13</v>
      </c>
      <c r="B100">
        <v>31</v>
      </c>
      <c r="C100" s="8">
        <f>'Customer Usage database'!C37/(C85*$B100*24)</f>
        <v>0.5981056959265647</v>
      </c>
      <c r="D100" s="8">
        <f>'Customer Usage database'!D37/(D85*$B100*24)</f>
        <v>0.6126988795069562</v>
      </c>
      <c r="E100" s="8">
        <f>'Customer Usage database'!E37/(E85*$B100*24)</f>
        <v>0.46149671308340934</v>
      </c>
      <c r="F100" s="8">
        <f>'Customer Usage database'!F37/(F85*$B100*24)</f>
        <v>0.5592896999686734</v>
      </c>
      <c r="G100" s="8">
        <f>'Customer Usage database'!G37/(G85*$B100*24)</f>
        <v>0.3308066903396075</v>
      </c>
      <c r="H100" s="8">
        <f>'Customer Usage database'!H37/(H85*$B100*24)</f>
        <v>0.47502752140267374</v>
      </c>
      <c r="I100" s="8">
        <f>'Customer Usage database'!I37/(I85*$B100*24)</f>
        <v>0.6414441038083364</v>
      </c>
      <c r="J100" s="8">
        <f>'Customer Usage database'!J37/(J85*$B100*24)</f>
        <v>0.6548658282916733</v>
      </c>
      <c r="K100" s="8">
        <f>'Customer Usage database'!K37/(K85*$B100*24)</f>
        <v>0.5013283779513716</v>
      </c>
    </row>
    <row r="101" spans="1:11" ht="15">
      <c r="A101" t="s">
        <v>14</v>
      </c>
      <c r="B101">
        <v>30</v>
      </c>
      <c r="C101" s="8">
        <f>'Customer Usage database'!C38/(C86*$B101*24)</f>
        <v>0.6213905836955201</v>
      </c>
      <c r="D101" s="8">
        <f>'Customer Usage database'!D38/(D86*$B101*24)</f>
        <v>0.5675643292634136</v>
      </c>
      <c r="E101" s="8">
        <f>'Customer Usage database'!E38/(E86*$B101*24)</f>
        <v>0.5074343830433269</v>
      </c>
      <c r="F101" s="8">
        <f>'Customer Usage database'!F38/(F86*$B101*24)</f>
        <v>0.6264486415857311</v>
      </c>
      <c r="G101" s="8">
        <f>'Customer Usage database'!G38/(G86*$B101*24)</f>
        <v>0.37026542200550705</v>
      </c>
      <c r="H101" s="8">
        <f>'Customer Usage database'!H38/(H86*$B101*24)</f>
        <v>0.4811223368282527</v>
      </c>
      <c r="I101" s="8">
        <f>'Customer Usage database'!I38/(I86*$B101*24)</f>
        <v>0.6272499030093929</v>
      </c>
      <c r="J101" s="8">
        <f>'Customer Usage database'!J38/(J86*$B101*24)</f>
        <v>0.6403746247589711</v>
      </c>
      <c r="K101" s="8">
        <f>'Customer Usage database'!K38/(K86*$B101*24)</f>
        <v>0.6051929400934373</v>
      </c>
    </row>
    <row r="102" spans="1:11" ht="15">
      <c r="A102" t="s">
        <v>15</v>
      </c>
      <c r="B102">
        <v>31</v>
      </c>
      <c r="C102" s="11">
        <f>'Customer Usage database'!C39/(C87*$B102*24)</f>
        <v>0.6430465637656231</v>
      </c>
      <c r="D102" s="11">
        <f>'Customer Usage database'!D39/(D87*$B102*24)</f>
        <v>0.5318479538934863</v>
      </c>
      <c r="E102" s="11">
        <f>'Customer Usage database'!E39/(E87*$B102*24)</f>
        <v>0.49405088393242647</v>
      </c>
      <c r="F102" s="11">
        <f>'Customer Usage database'!F39/(F87*$B102*24)</f>
        <v>0.5983857471731405</v>
      </c>
      <c r="G102" s="11">
        <f>'Customer Usage database'!G39/(G87*$B102*24)</f>
        <v>0.38061261147298303</v>
      </c>
      <c r="H102" s="11">
        <f>'Customer Usage database'!H39/(H87*$B102*24)</f>
        <v>0.4266845927611696</v>
      </c>
      <c r="I102" s="11">
        <f>'Customer Usage database'!I39/(I87*$B102*24)</f>
        <v>0.49785372791916577</v>
      </c>
      <c r="J102" s="11">
        <f>'Customer Usage database'!J39/(J87*$B102*24)</f>
        <v>0.5082709342345112</v>
      </c>
      <c r="K102" s="11">
        <f>'Customer Usage database'!K39/(K87*$B102*24)</f>
        <v>0.6439597324291998</v>
      </c>
    </row>
    <row r="103" spans="2:11" ht="15">
      <c r="B103">
        <f>SUM(B91:B102)</f>
        <v>365</v>
      </c>
      <c r="C103" s="8">
        <f>'Customer Usage database'!C40/(C88*$B103*24)</f>
        <v>0.46437160514568493</v>
      </c>
      <c r="D103" s="8">
        <f>'Customer Usage database'!D40/(D88*$B103*24)</f>
        <v>0.46222451955707666</v>
      </c>
      <c r="E103" s="8">
        <f>'Customer Usage database'!E40/(E88*$B103*24)</f>
        <v>0.4223087971579621</v>
      </c>
      <c r="F103" s="8">
        <f>'Customer Usage database'!F40/(F88*$B103*24)</f>
        <v>0.5342214172758454</v>
      </c>
      <c r="G103" s="8">
        <f>'Customer Usage database'!G40/(G88*$B103*24)</f>
        <v>0.33990925813224354</v>
      </c>
      <c r="H103" s="8">
        <f>'Customer Usage database'!H40/(H88*$B103*24)</f>
        <v>0.4329015322276778</v>
      </c>
      <c r="I103" s="8">
        <f>'Customer Usage database'!I40/(I88*$B103*24)</f>
        <v>0.5367901526451655</v>
      </c>
      <c r="J103" s="8">
        <f>'Customer Usage database'!J40/(J88*$B103*24)</f>
        <v>0.1846179721247446</v>
      </c>
      <c r="K103" s="8">
        <f>'Customer Usage database'!K40/(K88*$B103*24)</f>
        <v>0.5071815826534211</v>
      </c>
    </row>
    <row r="105" ht="15.75">
      <c r="A105" s="6" t="s">
        <v>270</v>
      </c>
    </row>
    <row r="107" spans="1:12" ht="15">
      <c r="A107" t="s">
        <v>4</v>
      </c>
      <c r="C107" s="1">
        <f>C12*C45</f>
        <v>747.5129183053688</v>
      </c>
      <c r="D107" s="1">
        <f aca="true" t="shared" si="5" ref="D107:K107">D12*D45</f>
        <v>50.51648629210285</v>
      </c>
      <c r="E107" s="1">
        <f t="shared" si="5"/>
        <v>718.6526136035266</v>
      </c>
      <c r="F107" s="1">
        <f t="shared" si="5"/>
        <v>2628.4479645676147</v>
      </c>
      <c r="G107" s="1">
        <f t="shared" si="5"/>
        <v>158.62815837429963</v>
      </c>
      <c r="H107" s="1">
        <f t="shared" si="5"/>
        <v>362.3099557888892</v>
      </c>
      <c r="I107" s="1">
        <f t="shared" si="5"/>
        <v>6491.03904366144</v>
      </c>
      <c r="J107" s="1">
        <f t="shared" si="5"/>
        <v>0</v>
      </c>
      <c r="K107" s="1">
        <f t="shared" si="5"/>
        <v>30.738940173050572</v>
      </c>
      <c r="L107" s="232">
        <f aca="true" t="shared" si="6" ref="L107:L118">SUM(C107:K107)</f>
        <v>11187.846080766292</v>
      </c>
    </row>
    <row r="108" spans="1:12" ht="15">
      <c r="A108" t="s">
        <v>5</v>
      </c>
      <c r="C108" s="1">
        <f aca="true" t="shared" si="7" ref="C108:K108">C13*C46</f>
        <v>1276.994750774619</v>
      </c>
      <c r="D108" s="1">
        <f t="shared" si="7"/>
        <v>73.58364168070409</v>
      </c>
      <c r="E108" s="1">
        <f t="shared" si="7"/>
        <v>817.6823887625361</v>
      </c>
      <c r="F108" s="1">
        <f t="shared" si="7"/>
        <v>2616.8569673396473</v>
      </c>
      <c r="G108" s="1">
        <f t="shared" si="7"/>
        <v>165.77829895737068</v>
      </c>
      <c r="H108" s="1">
        <f t="shared" si="7"/>
        <v>350.57953001597826</v>
      </c>
      <c r="I108" s="1">
        <f t="shared" si="7"/>
        <v>6734.949130808353</v>
      </c>
      <c r="J108" s="1">
        <f t="shared" si="7"/>
        <v>0</v>
      </c>
      <c r="K108" s="1">
        <f t="shared" si="7"/>
        <v>55.2203776690194</v>
      </c>
      <c r="L108" s="232">
        <f t="shared" si="6"/>
        <v>12091.645086008226</v>
      </c>
    </row>
    <row r="109" spans="1:12" ht="15">
      <c r="A109" t="s">
        <v>6</v>
      </c>
      <c r="C109" s="1">
        <f aca="true" t="shared" si="8" ref="C109:K109">C14*C47</f>
        <v>1445.7428190838882</v>
      </c>
      <c r="D109" s="1">
        <f t="shared" si="8"/>
        <v>131.85509091499375</v>
      </c>
      <c r="E109" s="1">
        <f t="shared" si="8"/>
        <v>1327.6941430961967</v>
      </c>
      <c r="F109" s="1">
        <f t="shared" si="8"/>
        <v>2690.9940539714107</v>
      </c>
      <c r="G109" s="1">
        <f t="shared" si="8"/>
        <v>166.07608579320086</v>
      </c>
      <c r="H109" s="1">
        <f t="shared" si="8"/>
        <v>632.4800587662368</v>
      </c>
      <c r="I109" s="1">
        <f t="shared" si="8"/>
        <v>6146.623227757713</v>
      </c>
      <c r="J109" s="1">
        <f t="shared" si="8"/>
        <v>0</v>
      </c>
      <c r="K109" s="1">
        <f t="shared" si="8"/>
        <v>7.542528459991896</v>
      </c>
      <c r="L109" s="232">
        <f t="shared" si="6"/>
        <v>12549.008007843631</v>
      </c>
    </row>
    <row r="110" spans="1:12" ht="15">
      <c r="A110" t="s">
        <v>7</v>
      </c>
      <c r="C110" s="1">
        <f aca="true" t="shared" si="9" ref="C110:K110">C15*C48</f>
        <v>1629.5407663014064</v>
      </c>
      <c r="D110" s="1">
        <f t="shared" si="9"/>
        <v>86.04320982084148</v>
      </c>
      <c r="E110" s="1">
        <f t="shared" si="9"/>
        <v>1453.344961244751</v>
      </c>
      <c r="F110" s="1">
        <f t="shared" si="9"/>
        <v>2371.1514781250457</v>
      </c>
      <c r="G110" s="1">
        <f t="shared" si="9"/>
        <v>157.75558073807713</v>
      </c>
      <c r="H110" s="1">
        <f t="shared" si="9"/>
        <v>627.9193308831057</v>
      </c>
      <c r="I110" s="1">
        <f t="shared" si="9"/>
        <v>6371.508656259001</v>
      </c>
      <c r="J110" s="1">
        <f t="shared" si="9"/>
        <v>0</v>
      </c>
      <c r="K110" s="1">
        <f t="shared" si="9"/>
        <v>11.56781537793451</v>
      </c>
      <c r="L110" s="232">
        <f t="shared" si="6"/>
        <v>12708.831798750163</v>
      </c>
    </row>
    <row r="111" spans="1:12" ht="15">
      <c r="A111" t="s">
        <v>8</v>
      </c>
      <c r="C111" s="1">
        <f aca="true" t="shared" si="10" ref="C111:K111">C16*C49</f>
        <v>1536.5398059144218</v>
      </c>
      <c r="D111" s="1">
        <f t="shared" si="10"/>
        <v>132.08903776854902</v>
      </c>
      <c r="E111" s="1">
        <f t="shared" si="10"/>
        <v>1725.201983188925</v>
      </c>
      <c r="F111" s="1">
        <f t="shared" si="10"/>
        <v>2796.7680140944417</v>
      </c>
      <c r="G111" s="1">
        <f t="shared" si="10"/>
        <v>237.25548654440652</v>
      </c>
      <c r="H111" s="1">
        <f t="shared" si="10"/>
        <v>676.4374733281462</v>
      </c>
      <c r="I111" s="1">
        <f t="shared" si="10"/>
        <v>6575.498582749103</v>
      </c>
      <c r="J111" s="1">
        <f t="shared" si="10"/>
        <v>0</v>
      </c>
      <c r="K111" s="1">
        <f t="shared" si="10"/>
        <v>14.706185807077862</v>
      </c>
      <c r="L111" s="232">
        <f t="shared" si="6"/>
        <v>13694.496569395069</v>
      </c>
    </row>
    <row r="112" spans="1:12" ht="15">
      <c r="A112" t="s">
        <v>9</v>
      </c>
      <c r="C112" s="1">
        <f aca="true" t="shared" si="11" ref="C112:K112">C17*C50</f>
        <v>1868.277195520378</v>
      </c>
      <c r="D112" s="1">
        <f t="shared" si="11"/>
        <v>119.03434549293527</v>
      </c>
      <c r="E112" s="1">
        <f t="shared" si="11"/>
        <v>1603.8367780603207</v>
      </c>
      <c r="F112" s="1">
        <f t="shared" si="11"/>
        <v>2351.0221804315856</v>
      </c>
      <c r="G112" s="1">
        <f t="shared" si="11"/>
        <v>188.40907702774132</v>
      </c>
      <c r="H112" s="1">
        <f t="shared" si="11"/>
        <v>658.9190505428429</v>
      </c>
      <c r="I112" s="1">
        <f t="shared" si="11"/>
        <v>6853.804833135547</v>
      </c>
      <c r="J112" s="1">
        <f t="shared" si="11"/>
        <v>0</v>
      </c>
      <c r="K112" s="1">
        <f t="shared" si="11"/>
        <v>15.749271972208735</v>
      </c>
      <c r="L112" s="232">
        <f t="shared" si="6"/>
        <v>13659.05273218356</v>
      </c>
    </row>
    <row r="113" spans="1:12" ht="15">
      <c r="A113" t="s">
        <v>10</v>
      </c>
      <c r="C113" s="1">
        <f aca="true" t="shared" si="12" ref="C113:K113">C18*C51</f>
        <v>1582.332506495016</v>
      </c>
      <c r="D113" s="1">
        <f t="shared" si="12"/>
        <v>182.01441597849887</v>
      </c>
      <c r="E113" s="1">
        <f t="shared" si="12"/>
        <v>2410.6831812880387</v>
      </c>
      <c r="F113" s="1">
        <f t="shared" si="12"/>
        <v>3285.975711806134</v>
      </c>
      <c r="G113" s="1">
        <f t="shared" si="12"/>
        <v>313.1913318034372</v>
      </c>
      <c r="H113" s="1">
        <f t="shared" si="12"/>
        <v>742.3216049588615</v>
      </c>
      <c r="I113" s="1">
        <f t="shared" si="12"/>
        <v>7661.143748258565</v>
      </c>
      <c r="J113" s="1">
        <f t="shared" si="12"/>
        <v>0</v>
      </c>
      <c r="K113" s="1">
        <f t="shared" si="12"/>
        <v>20.85969838148784</v>
      </c>
      <c r="L113" s="232">
        <f t="shared" si="6"/>
        <v>16198.522198970039</v>
      </c>
    </row>
    <row r="114" spans="1:12" ht="15">
      <c r="A114" t="s">
        <v>11</v>
      </c>
      <c r="C114" s="1">
        <f aca="true" t="shared" si="13" ref="C114:K114">C19*C52</f>
        <v>1936.2038974777497</v>
      </c>
      <c r="D114" s="1">
        <f t="shared" si="13"/>
        <v>189.50773872300118</v>
      </c>
      <c r="E114" s="1">
        <f t="shared" si="13"/>
        <v>2573.802775427037</v>
      </c>
      <c r="F114" s="1">
        <f t="shared" si="13"/>
        <v>3423.9512394289495</v>
      </c>
      <c r="G114" s="1">
        <f t="shared" si="13"/>
        <v>338.1409475937031</v>
      </c>
      <c r="H114" s="1">
        <f t="shared" si="13"/>
        <v>702.4864176943937</v>
      </c>
      <c r="I114" s="1">
        <f t="shared" si="13"/>
        <v>7759.0127508572305</v>
      </c>
      <c r="J114" s="1">
        <f t="shared" si="13"/>
        <v>0</v>
      </c>
      <c r="K114" s="1">
        <f t="shared" si="13"/>
        <v>23.116181898430966</v>
      </c>
      <c r="L114" s="232">
        <f t="shared" si="6"/>
        <v>16946.221949100494</v>
      </c>
    </row>
    <row r="115" spans="1:12" ht="15">
      <c r="A115" t="s">
        <v>12</v>
      </c>
      <c r="C115" s="1">
        <f aca="true" t="shared" si="14" ref="C115:K115">C20*C53</f>
        <v>2256.071815601653</v>
      </c>
      <c r="D115" s="1">
        <f t="shared" si="14"/>
        <v>203.04152245189425</v>
      </c>
      <c r="E115" s="1">
        <f t="shared" si="14"/>
        <v>2819.066150839372</v>
      </c>
      <c r="F115" s="1">
        <f t="shared" si="14"/>
        <v>3484.615459513863</v>
      </c>
      <c r="G115" s="1">
        <f t="shared" si="14"/>
        <v>322.0938209900902</v>
      </c>
      <c r="H115" s="1">
        <f t="shared" si="14"/>
        <v>707.0097809209468</v>
      </c>
      <c r="I115" s="1">
        <f t="shared" si="14"/>
        <v>7804.822249042212</v>
      </c>
      <c r="J115" s="1">
        <f t="shared" si="14"/>
        <v>8699.163129273822</v>
      </c>
      <c r="K115" s="1">
        <f t="shared" si="14"/>
        <v>25.02311893100399</v>
      </c>
      <c r="L115" s="232">
        <f t="shared" si="6"/>
        <v>26320.90704756486</v>
      </c>
    </row>
    <row r="116" spans="1:12" ht="15">
      <c r="A116" t="s">
        <v>13</v>
      </c>
      <c r="C116" s="1">
        <f aca="true" t="shared" si="15" ref="C116:K116">C21*C54</f>
        <v>3148.8210736171804</v>
      </c>
      <c r="D116" s="1">
        <f t="shared" si="15"/>
        <v>196.5185297614177</v>
      </c>
      <c r="E116" s="1">
        <f t="shared" si="15"/>
        <v>2483.6959258705424</v>
      </c>
      <c r="F116" s="1">
        <f t="shared" si="15"/>
        <v>2781.2478062438945</v>
      </c>
      <c r="G116" s="1">
        <f t="shared" si="15"/>
        <v>345.8969758344675</v>
      </c>
      <c r="H116" s="1">
        <f t="shared" si="15"/>
        <v>1069.0570152123864</v>
      </c>
      <c r="I116" s="1">
        <f t="shared" si="15"/>
        <v>7002.229160553907</v>
      </c>
      <c r="J116" s="1">
        <f t="shared" si="15"/>
        <v>7872.859360130632</v>
      </c>
      <c r="K116" s="1">
        <f t="shared" si="15"/>
        <v>21.877558901431755</v>
      </c>
      <c r="L116" s="232">
        <f t="shared" si="6"/>
        <v>24922.20340612586</v>
      </c>
    </row>
    <row r="117" spans="1:12" ht="15">
      <c r="A117" t="s">
        <v>14</v>
      </c>
      <c r="C117" s="1">
        <f aca="true" t="shared" si="16" ref="C117:K117">C22*C55</f>
        <v>4408.443387794206</v>
      </c>
      <c r="D117" s="1">
        <f t="shared" si="16"/>
        <v>216.96378793417523</v>
      </c>
      <c r="E117" s="1">
        <f t="shared" si="16"/>
        <v>2581.513655081081</v>
      </c>
      <c r="F117" s="1">
        <f t="shared" si="16"/>
        <v>2622.696208962875</v>
      </c>
      <c r="G117" s="1">
        <f t="shared" si="16"/>
        <v>300.04482626428586</v>
      </c>
      <c r="H117" s="1">
        <f t="shared" si="16"/>
        <v>1050.6175419469669</v>
      </c>
      <c r="I117" s="1">
        <f t="shared" si="16"/>
        <v>5729.3554227565955</v>
      </c>
      <c r="J117" s="1">
        <f t="shared" si="16"/>
        <v>6414.055710294545</v>
      </c>
      <c r="K117" s="1">
        <f t="shared" si="16"/>
        <v>165.84517525754285</v>
      </c>
      <c r="L117" s="232">
        <f t="shared" si="6"/>
        <v>23489.535716292274</v>
      </c>
    </row>
    <row r="118" spans="1:12" ht="17.25">
      <c r="A118" t="s">
        <v>15</v>
      </c>
      <c r="C118" s="10">
        <f aca="true" t="shared" si="17" ref="C118:K118">C23*C56</f>
        <v>5951.027312498203</v>
      </c>
      <c r="D118" s="10">
        <f t="shared" si="17"/>
        <v>275.1453923466096</v>
      </c>
      <c r="E118" s="10">
        <f t="shared" si="17"/>
        <v>2881.4690705074954</v>
      </c>
      <c r="F118" s="10">
        <f t="shared" si="17"/>
        <v>2696.39192682742</v>
      </c>
      <c r="G118" s="10">
        <f t="shared" si="17"/>
        <v>304.68636840776975</v>
      </c>
      <c r="H118" s="10">
        <f t="shared" si="17"/>
        <v>1092.1748545145936</v>
      </c>
      <c r="I118" s="10">
        <f t="shared" si="17"/>
        <v>7416.69273300407</v>
      </c>
      <c r="J118" s="10">
        <f t="shared" si="17"/>
        <v>8420.51218320945</v>
      </c>
      <c r="K118" s="10">
        <f t="shared" si="17"/>
        <v>232.55019562218374</v>
      </c>
      <c r="L118" s="255">
        <f t="shared" si="6"/>
        <v>29270.650036937797</v>
      </c>
    </row>
    <row r="119" spans="1:12" ht="15">
      <c r="A119" t="s">
        <v>24</v>
      </c>
      <c r="C119" s="232">
        <f>SUM(C107:C118)</f>
        <v>27787.508249384096</v>
      </c>
      <c r="D119" s="232">
        <f aca="true" t="shared" si="18" ref="D119:L119">SUM(D107:D118)</f>
        <v>1856.3131991657233</v>
      </c>
      <c r="E119" s="232">
        <f t="shared" si="18"/>
        <v>23396.643626969824</v>
      </c>
      <c r="F119" s="232">
        <f t="shared" si="18"/>
        <v>33750.119011312876</v>
      </c>
      <c r="G119" s="232">
        <f t="shared" si="18"/>
        <v>2997.9569583288494</v>
      </c>
      <c r="H119" s="232">
        <f t="shared" si="18"/>
        <v>8672.312614573346</v>
      </c>
      <c r="I119" s="232">
        <f t="shared" si="18"/>
        <v>82546.67953884373</v>
      </c>
      <c r="J119" s="232">
        <f t="shared" si="18"/>
        <v>31406.59038290845</v>
      </c>
      <c r="K119" s="232">
        <f t="shared" si="18"/>
        <v>624.797048451364</v>
      </c>
      <c r="L119" s="232">
        <f t="shared" si="18"/>
        <v>213038.92062993825</v>
      </c>
    </row>
    <row r="121" ht="15.75">
      <c r="A121" s="6" t="s">
        <v>271</v>
      </c>
    </row>
    <row r="123" spans="1:11" ht="15">
      <c r="A123" t="s">
        <v>4</v>
      </c>
      <c r="C123" s="72">
        <f>C107/'COSS Losses'!B154</f>
        <v>778.1506752376544</v>
      </c>
      <c r="D123" s="72">
        <f>D107/'COSS Losses'!C154</f>
        <v>69.95615344770053</v>
      </c>
      <c r="E123" s="72">
        <f>E107/'COSS Losses'!D154</f>
        <v>773.6991595177651</v>
      </c>
      <c r="F123" s="72">
        <f>F107/'COSS Losses'!E154</f>
        <v>3024.3469276888227</v>
      </c>
      <c r="G123" s="72">
        <f>G107/'COSS Losses'!F154</f>
        <v>182.08995768871512</v>
      </c>
      <c r="H123" s="72">
        <f>H107/'COSS Losses'!G154</f>
        <v>429.9433868307128</v>
      </c>
      <c r="I123" s="72">
        <f>I107/'COSS Losses'!H154</f>
        <v>7184.500708339905</v>
      </c>
      <c r="J123" s="72">
        <f>J107/'COSS Losses'!I154</f>
        <v>0</v>
      </c>
      <c r="K123" s="72">
        <f>K107/'COSS Losses'!J154</f>
        <v>39.13346277436293</v>
      </c>
    </row>
    <row r="124" spans="1:11" ht="15">
      <c r="A124" t="s">
        <v>5</v>
      </c>
      <c r="C124" s="72">
        <f>C108/'COSS Losses'!B155</f>
        <v>1292.865702400723</v>
      </c>
      <c r="D124" s="72">
        <f>D108/'COSS Losses'!C155</f>
        <v>114.9129623260453</v>
      </c>
      <c r="E124" s="72">
        <f>E108/'COSS Losses'!D155</f>
        <v>967.3156521230468</v>
      </c>
      <c r="F124" s="72">
        <f>F108/'COSS Losses'!E155</f>
        <v>3087.7495077277645</v>
      </c>
      <c r="G124" s="72">
        <f>G108/'COSS Losses'!F155</f>
        <v>196.36549583145487</v>
      </c>
      <c r="H124" s="72">
        <f>H108/'COSS Losses'!G155</f>
        <v>393.2273714733755</v>
      </c>
      <c r="I124" s="72">
        <f>I108/'COSS Losses'!H155</f>
        <v>7328.312600418343</v>
      </c>
      <c r="J124" s="72">
        <f>J108/'COSS Losses'!I155</f>
        <v>0</v>
      </c>
      <c r="K124" s="72">
        <f>K108/'COSS Losses'!J155</f>
        <v>55.2203776690194</v>
      </c>
    </row>
    <row r="125" spans="1:11" ht="15">
      <c r="A125" t="s">
        <v>6</v>
      </c>
      <c r="C125" s="72">
        <f>C109/'COSS Losses'!B156</f>
        <v>1572.68823634582</v>
      </c>
      <c r="D125" s="72">
        <f>D109/'COSS Losses'!C156</f>
        <v>167.57910949923453</v>
      </c>
      <c r="E125" s="72">
        <f>E109/'COSS Losses'!D156</f>
        <v>1356.8257422628026</v>
      </c>
      <c r="F125" s="72">
        <f>F109/'COSS Losses'!E156</f>
        <v>3058.305534838583</v>
      </c>
      <c r="G125" s="72">
        <f>G109/'COSS Losses'!F156</f>
        <v>173.75711412178157</v>
      </c>
      <c r="H125" s="72">
        <f>H109/'COSS Losses'!G156</f>
        <v>736.5795189308894</v>
      </c>
      <c r="I125" s="72">
        <f>I109/'COSS Losses'!H156</f>
        <v>6743.375633932616</v>
      </c>
      <c r="J125" s="72">
        <f>J109/'COSS Losses'!I156</f>
        <v>0</v>
      </c>
      <c r="K125" s="72">
        <f>K109/'COSS Losses'!J156</f>
        <v>66.762001819832</v>
      </c>
    </row>
    <row r="126" spans="1:11" ht="15">
      <c r="A126" t="s">
        <v>7</v>
      </c>
      <c r="C126" s="72">
        <f>C110/'COSS Losses'!B157</f>
        <v>1726.7097751741296</v>
      </c>
      <c r="D126" s="72">
        <f>D110/'COSS Losses'!C157</f>
        <v>169.45941579960518</v>
      </c>
      <c r="E126" s="72">
        <f>E110/'COSS Losses'!D157</f>
        <v>1655.56128518072</v>
      </c>
      <c r="F126" s="72">
        <f>F110/'COSS Losses'!E157</f>
        <v>2902.7450506245586</v>
      </c>
      <c r="G126" s="72">
        <f>G110/'COSS Losses'!F157</f>
        <v>196.9540906053636</v>
      </c>
      <c r="H126" s="72">
        <f>H110/'COSS Losses'!G157</f>
        <v>771.1876139183066</v>
      </c>
      <c r="I126" s="72">
        <f>I110/'COSS Losses'!H157</f>
        <v>7196.09856199924</v>
      </c>
      <c r="J126" s="72">
        <f>J110/'COSS Losses'!I157</f>
        <v>0</v>
      </c>
      <c r="K126" s="72">
        <f>K110/'COSS Losses'!J157</f>
        <v>94.38870075634627</v>
      </c>
    </row>
    <row r="127" spans="1:11" ht="15">
      <c r="A127" t="s">
        <v>8</v>
      </c>
      <c r="C127" s="72">
        <f>C111/'COSS Losses'!B158</f>
        <v>1754.4464033058455</v>
      </c>
      <c r="D127" s="72">
        <f>D111/'COSS Losses'!C158</f>
        <v>163.09991918030613</v>
      </c>
      <c r="E127" s="72">
        <f>E111/'COSS Losses'!D158</f>
        <v>1813.0427391962712</v>
      </c>
      <c r="F127" s="72">
        <f>F111/'COSS Losses'!E158</f>
        <v>3111.943371082188</v>
      </c>
      <c r="G127" s="72">
        <f>G111/'COSS Losses'!F158</f>
        <v>245.47051589170232</v>
      </c>
      <c r="H127" s="72">
        <f>H111/'COSS Losses'!G158</f>
        <v>786.2020488114917</v>
      </c>
      <c r="I127" s="72">
        <f>I111/'COSS Losses'!H158</f>
        <v>6693.489439245788</v>
      </c>
      <c r="J127" s="72">
        <f>J111/'COSS Losses'!I158</f>
        <v>0</v>
      </c>
      <c r="K127" s="72">
        <f>K111/'COSS Losses'!J158</f>
        <v>108.19849296328297</v>
      </c>
    </row>
    <row r="128" spans="1:11" ht="15">
      <c r="A128" t="s">
        <v>9</v>
      </c>
      <c r="C128" s="72">
        <f>C112/'COSS Losses'!B159</f>
        <v>2010.0689501221016</v>
      </c>
      <c r="D128" s="72">
        <f>D112/'COSS Losses'!C159</f>
        <v>188.55765153289084</v>
      </c>
      <c r="E128" s="72">
        <f>E112/'COSS Losses'!D159</f>
        <v>2050.3116824230738</v>
      </c>
      <c r="F128" s="72">
        <f>F112/'COSS Losses'!E159</f>
        <v>3195.383679632217</v>
      </c>
      <c r="G128" s="72">
        <f>G112/'COSS Losses'!F159</f>
        <v>265.2900118524515</v>
      </c>
      <c r="H128" s="72">
        <f>H112/'COSS Losses'!G159</f>
        <v>816.7187202306641</v>
      </c>
      <c r="I128" s="72">
        <f>I112/'COSS Losses'!H159</f>
        <v>7357.795386349369</v>
      </c>
      <c r="J128" s="72">
        <f>J112/'COSS Losses'!I159</f>
        <v>0</v>
      </c>
      <c r="K128" s="72">
        <f>K112/'COSS Losses'!J159</f>
        <v>135.82464071508727</v>
      </c>
    </row>
    <row r="129" spans="1:11" ht="15">
      <c r="A129" t="s">
        <v>10</v>
      </c>
      <c r="C129" s="72">
        <f>C113/'COSS Losses'!B160</f>
        <v>2095.754598259526</v>
      </c>
      <c r="D129" s="72">
        <f>D113/'COSS Losses'!C160</f>
        <v>191.49184127820524</v>
      </c>
      <c r="E129" s="72">
        <f>E113/'COSS Losses'!D160</f>
        <v>2425.3525809057205</v>
      </c>
      <c r="F129" s="72">
        <f>F113/'COSS Losses'!E160</f>
        <v>3413.4366845741106</v>
      </c>
      <c r="G129" s="72">
        <f>G113/'COSS Losses'!F160</f>
        <v>352.0273667229447</v>
      </c>
      <c r="H129" s="72">
        <f>H113/'COSS Losses'!G160</f>
        <v>834.930543037447</v>
      </c>
      <c r="I129" s="72">
        <f>I113/'COSS Losses'!H160</f>
        <v>7661.143748258565</v>
      </c>
      <c r="J129" s="72">
        <f>J113/'COSS Losses'!I160</f>
        <v>0</v>
      </c>
      <c r="K129" s="72">
        <f>K113/'COSS Losses'!J160</f>
        <v>154.23074641048083</v>
      </c>
    </row>
    <row r="130" spans="1:11" ht="15">
      <c r="A130" t="s">
        <v>11</v>
      </c>
      <c r="C130" s="72">
        <f>C114/'COSS Losses'!B161</f>
        <v>2349.2685371969174</v>
      </c>
      <c r="D130" s="72">
        <f>D114/'COSS Losses'!C161</f>
        <v>225.76255180686525</v>
      </c>
      <c r="E130" s="72">
        <f>E114/'COSS Losses'!D161</f>
        <v>2678.048987512204</v>
      </c>
      <c r="F130" s="72">
        <f>F114/'COSS Losses'!E161</f>
        <v>3668.992306496788</v>
      </c>
      <c r="G130" s="72">
        <f>G114/'COSS Losses'!F161</f>
        <v>410.39304660043706</v>
      </c>
      <c r="H130" s="72">
        <f>H114/'COSS Losses'!G161</f>
        <v>818.7464418837377</v>
      </c>
      <c r="I130" s="72">
        <f>I114/'COSS Losses'!H161</f>
        <v>7759.0127508572305</v>
      </c>
      <c r="J130" s="72">
        <f>J114/'COSS Losses'!I161</f>
        <v>0</v>
      </c>
      <c r="K130" s="72">
        <f>K114/'COSS Losses'!J161</f>
        <v>179.56544067210638</v>
      </c>
    </row>
    <row r="131" spans="1:11" ht="15">
      <c r="A131" t="s">
        <v>12</v>
      </c>
      <c r="C131" s="72">
        <f>C115/'COSS Losses'!B162</f>
        <v>2543.2633731865753</v>
      </c>
      <c r="D131" s="72">
        <f>D115/'COSS Losses'!C162</f>
        <v>234.08456923293323</v>
      </c>
      <c r="E131" s="72">
        <f>E115/'COSS Losses'!D162</f>
        <v>2948.6385752677215</v>
      </c>
      <c r="F131" s="72">
        <f>F115/'COSS Losses'!E162</f>
        <v>3730.7810186376805</v>
      </c>
      <c r="G131" s="72">
        <f>G115/'COSS Losses'!F162</f>
        <v>391.98587103776936</v>
      </c>
      <c r="H131" s="72">
        <f>H115/'COSS Losses'!G162</f>
        <v>846.4490204529354</v>
      </c>
      <c r="I131" s="72">
        <f>I115/'COSS Losses'!H162</f>
        <v>8195.932126991134</v>
      </c>
      <c r="J131" s="72">
        <f>J115/'COSS Losses'!I162</f>
        <v>9001.100499146745</v>
      </c>
      <c r="K131" s="72">
        <f>K115/'COSS Losses'!J162</f>
        <v>204.896319039586</v>
      </c>
    </row>
    <row r="132" spans="1:11" ht="15">
      <c r="A132" t="s">
        <v>13</v>
      </c>
      <c r="C132" s="72">
        <f>C116/'COSS Losses'!B163</f>
        <v>3516.999325069846</v>
      </c>
      <c r="D132" s="72">
        <f>D116/'COSS Losses'!C163</f>
        <v>263.96551803572515</v>
      </c>
      <c r="E132" s="72">
        <f>E116/'COSS Losses'!D163</f>
        <v>2848.1173589077607</v>
      </c>
      <c r="F132" s="72">
        <f>F116/'COSS Losses'!E163</f>
        <v>3548.978354007902</v>
      </c>
      <c r="G132" s="72">
        <f>G116/'COSS Losses'!F163</f>
        <v>365.7947832502089</v>
      </c>
      <c r="H132" s="72">
        <f>H116/'COSS Losses'!G163</f>
        <v>1195.071389892939</v>
      </c>
      <c r="I132" s="72">
        <f>I116/'COSS Losses'!H163</f>
        <v>7057.611849224157</v>
      </c>
      <c r="J132" s="72">
        <f>J116/'COSS Losses'!I163</f>
        <v>7872.859360130632</v>
      </c>
      <c r="K132" s="72">
        <f>K116/'COSS Losses'!J163</f>
        <v>211.81775916411794</v>
      </c>
    </row>
    <row r="133" spans="1:11" ht="15">
      <c r="A133" t="s">
        <v>14</v>
      </c>
      <c r="C133" s="72">
        <f>C117/'COSS Losses'!B164</f>
        <v>4468.39979243049</v>
      </c>
      <c r="D133" s="72">
        <f>D117/'COSS Losses'!C164</f>
        <v>319.5118778592995</v>
      </c>
      <c r="E133" s="72">
        <f>E117/'COSS Losses'!D164</f>
        <v>2890.0561993329557</v>
      </c>
      <c r="F133" s="72">
        <f>F117/'COSS Losses'!E164</f>
        <v>3059.8429334976327</v>
      </c>
      <c r="G133" s="72">
        <f>G117/'COSS Losses'!F164</f>
        <v>389.89426588705567</v>
      </c>
      <c r="H133" s="72">
        <f>H117/'COSS Losses'!G164</f>
        <v>1194.0621347081703</v>
      </c>
      <c r="I133" s="72">
        <f>I117/'COSS Losses'!H164</f>
        <v>7341.112008521004</v>
      </c>
      <c r="J133" s="72">
        <f>J117/'COSS Losses'!I164</f>
        <v>8062.302852238108</v>
      </c>
      <c r="K133" s="72">
        <f>K117/'COSS Losses'!J164</f>
        <v>223.32877136411568</v>
      </c>
    </row>
    <row r="134" spans="1:11" ht="17.25">
      <c r="A134" t="s">
        <v>15</v>
      </c>
      <c r="C134" s="234">
        <f>C118/'COSS Losses'!B165</f>
        <v>6271.297278968627</v>
      </c>
      <c r="D134" s="234">
        <f>D118/'COSS Losses'!C165</f>
        <v>443.6428367339608</v>
      </c>
      <c r="E134" s="234">
        <f>E118/'COSS Losses'!D165</f>
        <v>3182.8289281856396</v>
      </c>
      <c r="F134" s="234">
        <f>F118/'COSS Losses'!E165</f>
        <v>3158.284165767976</v>
      </c>
      <c r="G134" s="234">
        <f>G118/'COSS Losses'!F165</f>
        <v>425.67267603102675</v>
      </c>
      <c r="H134" s="234">
        <f>H118/'COSS Losses'!G165</f>
        <v>1327.3099774299217</v>
      </c>
      <c r="I134" s="234">
        <f>I118/'COSS Losses'!H165</f>
        <v>7680.66428992053</v>
      </c>
      <c r="J134" s="234">
        <f>J118/'COSS Losses'!I165</f>
        <v>8435.212749762322</v>
      </c>
      <c r="K134" s="234">
        <f>K118/'COSS Losses'!J165</f>
        <v>232.55019562218374</v>
      </c>
    </row>
    <row r="135" spans="1:11" ht="15">
      <c r="A135" t="s">
        <v>24</v>
      </c>
      <c r="C135" s="72">
        <f>SUM(C123:C134)</f>
        <v>30379.912647698256</v>
      </c>
      <c r="D135" s="72">
        <f aca="true" t="shared" si="19" ref="D135:K135">SUM(D123:D134)</f>
        <v>2552.0244067327717</v>
      </c>
      <c r="E135" s="72">
        <f t="shared" si="19"/>
        <v>25589.798890815677</v>
      </c>
      <c r="F135" s="72">
        <f t="shared" si="19"/>
        <v>38960.78953457622</v>
      </c>
      <c r="G135" s="72">
        <f t="shared" si="19"/>
        <v>3595.6951955209115</v>
      </c>
      <c r="H135" s="72">
        <f t="shared" si="19"/>
        <v>10150.428167600592</v>
      </c>
      <c r="I135" s="72">
        <f t="shared" si="19"/>
        <v>88199.04910405788</v>
      </c>
      <c r="J135" s="72">
        <f t="shared" si="19"/>
        <v>33371.475461277805</v>
      </c>
      <c r="K135" s="72">
        <f t="shared" si="19"/>
        <v>1705.9169089705213</v>
      </c>
    </row>
  </sheetData>
  <sheetProtection/>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Barrie Clark</dc:creator>
  <cp:keywords/>
  <dc:description/>
  <cp:lastModifiedBy>SUTHERLAND, LAURA</cp:lastModifiedBy>
  <cp:lastPrinted>2015-09-01T15:03:34Z</cp:lastPrinted>
  <dcterms:created xsi:type="dcterms:W3CDTF">2002-06-10T11:38:13Z</dcterms:created>
  <dcterms:modified xsi:type="dcterms:W3CDTF">2015-09-01T15:05:30Z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aSecurityLog">
    <vt:lpwstr>&lt;Log Date="-8587948750762197020" Reason="ItemUpdated" Error=""&gt;&lt;Rule Message="" Name="Admin" /&gt;&lt;/Log&gt;</vt:lpwstr>
  </property>
  <property fmtid="{D5CDD505-2E9C-101B-9397-08002B2CF9AE}" pid="3" name="ContentType">
    <vt:lpwstr>Document</vt:lpwstr>
  </property>
  <property fmtid="{D5CDD505-2E9C-101B-9397-08002B2CF9AE}" pid="4" name="Filing">
    <vt:lpwstr>Compliance</vt:lpwstr>
  </property>
  <property fmtid="{D5CDD505-2E9C-101B-9397-08002B2CF9AE}" pid="5" name="Status_">
    <vt:lpwstr>31</vt:lpwstr>
  </property>
  <property fmtid="{D5CDD505-2E9C-101B-9397-08002B2CF9AE}" pid="6" name="Document Type">
    <vt:lpwstr/>
  </property>
  <property fmtid="{D5CDD505-2E9C-101B-9397-08002B2CF9AE}" pid="7" name="ContentTypeId">
    <vt:lpwstr>0x010100C36F03624C3DFF4D8196AE11A4DF78F7</vt:lpwstr>
  </property>
  <property fmtid="{D5CDD505-2E9C-101B-9397-08002B2CF9AE}" pid="8" name="Organization">
    <vt:lpwstr/>
  </property>
  <property fmtid="{D5CDD505-2E9C-101B-9397-08002B2CF9AE}" pid="9" name="Owner_">
    <vt:lpwstr/>
  </property>
  <property fmtid="{D5CDD505-2E9C-101B-9397-08002B2CF9AE}" pid="10" name="IR_Description">
    <vt:lpwstr/>
  </property>
  <property fmtid="{D5CDD505-2E9C-101B-9397-08002B2CF9AE}" pid="11" name="IR_Writer">
    <vt:lpwstr>Grus, Voytek</vt:lpwstr>
  </property>
  <property fmtid="{D5CDD505-2E9C-101B-9397-08002B2CF9AE}" pid="12" name="IR_Filing_Date">
    <vt:lpwstr>2015-07-13T00:00:00Z</vt:lpwstr>
  </property>
  <property fmtid="{D5CDD505-2E9C-101B-9397-08002B2CF9AE}" pid="13" name="IR_Sorting">
    <vt:lpwstr>&lt;select...&gt;</vt:lpwstr>
  </property>
  <property fmtid="{D5CDD505-2E9C-101B-9397-08002B2CF9AE}" pid="14" name="DR_Requestor">
    <vt:lpwstr>39</vt:lpwstr>
  </property>
  <property fmtid="{D5CDD505-2E9C-101B-9397-08002B2CF9AE}" pid="15" name="IR_Owner">
    <vt:lpwstr>Ferguson, Eric</vt:lpwstr>
  </property>
  <property fmtid="{D5CDD505-2E9C-101B-9397-08002B2CF9AE}" pid="16" name="Order">
    <vt:lpwstr>8100.00000000000</vt:lpwstr>
  </property>
  <property fmtid="{D5CDD505-2E9C-101B-9397-08002B2CF9AE}" pid="17" name="DR_Topic">
    <vt:lpwstr>24</vt:lpwstr>
  </property>
  <property fmtid="{D5CDD505-2E9C-101B-9397-08002B2CF9AE}" pid="18" name="DR_Subtopic">
    <vt:lpwstr>232</vt:lpwstr>
  </property>
  <property fmtid="{D5CDD505-2E9C-101B-9397-08002B2CF9AE}" pid="19" name="IR_Received_Date">
    <vt:lpwstr/>
  </property>
  <property fmtid="{D5CDD505-2E9C-101B-9397-08002B2CF9AE}" pid="20" name="Notes0">
    <vt:lpwstr>for issue to RTR stakeholder group July 22, 2015</vt:lpwstr>
  </property>
  <property fmtid="{D5CDD505-2E9C-101B-9397-08002B2CF9AE}" pid="21" name="Topic">
    <vt:lpwstr>Embedded Cost Recovery</vt:lpwstr>
  </property>
  <property fmtid="{D5CDD505-2E9C-101B-9397-08002B2CF9AE}" pid="22" name="Date Filed">
    <vt:lpwstr>2015-07-15T00:00:00Z</vt:lpwstr>
  </property>
  <property fmtid="{D5CDD505-2E9C-101B-9397-08002B2CF9AE}" pid="23" name="Project team notes">
    <vt:lpwstr>pdf the Summary tab for the print version. </vt:lpwstr>
  </property>
  <property fmtid="{D5CDD505-2E9C-101B-9397-08002B2CF9AE}" pid="24" name="Appendix name">
    <vt:lpwstr>Rates Calculation (formerly Multeese 32)</vt:lpwstr>
  </property>
  <property fmtid="{D5CDD505-2E9C-101B-9397-08002B2CF9AE}" pid="25" name="Appendix Number">
    <vt:lpwstr>024</vt:lpwstr>
  </property>
</Properties>
</file>