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805" tabRatio="767" activeTab="0"/>
  </bookViews>
  <sheets>
    <sheet name="BA Calculation" sheetId="1" r:id="rId1"/>
    <sheet name="AA Calculation" sheetId="2" r:id="rId2"/>
    <sheet name="Fuels Costs before Interest" sheetId="3" r:id="rId3"/>
    <sheet name="Monthly Fuel Cost Allocation" sheetId="4" r:id="rId4"/>
    <sheet name="Monthly Energy Allocators" sheetId="5" r:id="rId5"/>
    <sheet name="Data Inputs - 2011" sheetId="6" r:id="rId6"/>
    <sheet name="Data Inputs - 2012" sheetId="7" r:id="rId7"/>
    <sheet name="Data Inputs - 2013" sheetId="8" r:id="rId8"/>
  </sheets>
  <definedNames>
    <definedName name="AA_calculation" localSheetId="0">'BA Calculation'!$H$13:$X$37</definedName>
    <definedName name="AA_calculation">'AA Calculation'!$C$14:$V$37</definedName>
    <definedName name="Actual_Fuel_Cost_bfr_Interest">'Fuels Costs before Interest'!$C$14:$AC$53</definedName>
    <definedName name="BA_calculations">'BA Calculation'!$C$12:$X$37</definedName>
    <definedName name="FAMvsDSM">#REF!</definedName>
    <definedName name="_xlnm.Print_Area" localSheetId="1">'AA Calculation'!$A$1:$V$40</definedName>
    <definedName name="_xlnm.Print_Area" localSheetId="0">'BA Calculation'!$A$1:$X$40</definedName>
    <definedName name="_xlnm.Print_Area" localSheetId="5">'Data Inputs - 2011'!$A$1:$O$167</definedName>
    <definedName name="_xlnm.Print_Area" localSheetId="6">'Data Inputs - 2012'!$A$1:$O$227</definedName>
    <definedName name="_xlnm.Print_Area" localSheetId="2">'Fuels Costs before Interest'!$A$1:$AD$60</definedName>
    <definedName name="_xlnm.Print_Area" localSheetId="4">'Monthly Energy Allocators'!$A$1:$N$142</definedName>
    <definedName name="_xlnm.Print_Area" localSheetId="3">'Monthly Fuel Cost Allocation'!$A$1:$N$90</definedName>
    <definedName name="_xlnm.Print_Titles" localSheetId="1">'AA Calculation'!$A:$B,'AA Calculation'!$2:$13</definedName>
    <definedName name="_xlnm.Print_Titles" localSheetId="0">'BA Calculation'!$A:$B,'BA Calculation'!$2:$12</definedName>
    <definedName name="_xlnm.Print_Titles" localSheetId="2">'Fuels Costs before Interest'!$A:$B,'Fuels Costs before Interest'!$2:$13</definedName>
    <definedName name="solver_adj" localSheetId="3" hidden="1">#REF!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'Monthly Fuel Cost Allocation'!#REF!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1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<sst xmlns="http://schemas.openxmlformats.org/spreadsheetml/2006/main" count="829" uniqueCount="300">
  <si>
    <t>``</t>
  </si>
  <si>
    <t>COLUMN</t>
  </si>
  <si>
    <t>C</t>
  </si>
  <si>
    <t>D</t>
  </si>
  <si>
    <t>E</t>
  </si>
  <si>
    <t>F</t>
  </si>
  <si>
    <t>G</t>
  </si>
  <si>
    <t>FORMULA</t>
  </si>
  <si>
    <t>Rate Class</t>
  </si>
  <si>
    <t>kWhs Sales</t>
  </si>
  <si>
    <t>cents per kWh</t>
  </si>
  <si>
    <t xml:space="preserve">    Residential non ETS</t>
  </si>
  <si>
    <t xml:space="preserve">    Residential ETS</t>
  </si>
  <si>
    <t xml:space="preserve">    Small General</t>
  </si>
  <si>
    <t xml:space="preserve">    General Demand</t>
  </si>
  <si>
    <t xml:space="preserve">    Large General</t>
  </si>
  <si>
    <t xml:space="preserve">    Small Industrial</t>
  </si>
  <si>
    <t xml:space="preserve">    Medium Industrial</t>
  </si>
  <si>
    <t xml:space="preserve">    Large Industrial</t>
  </si>
  <si>
    <t xml:space="preserve">    Municipal</t>
  </si>
  <si>
    <t>I</t>
  </si>
  <si>
    <t>H</t>
  </si>
  <si>
    <t>J</t>
  </si>
  <si>
    <t>Line #</t>
  </si>
  <si>
    <t>K</t>
  </si>
  <si>
    <t>Relative Share</t>
  </si>
  <si>
    <t>L</t>
  </si>
  <si>
    <t>M</t>
  </si>
  <si>
    <t xml:space="preserve">   ATL Subtotal / Average</t>
  </si>
  <si>
    <t>Export Revenues</t>
  </si>
  <si>
    <t>NA</t>
  </si>
  <si>
    <t>Grand Total</t>
  </si>
  <si>
    <t>Mersey S.</t>
  </si>
  <si>
    <t xml:space="preserve">GRLF </t>
  </si>
  <si>
    <t>O</t>
  </si>
  <si>
    <t xml:space="preserve">Fuel Costs used for FAM purposes </t>
  </si>
  <si>
    <t>Adjusted for R/C ratio and Unbalanced</t>
  </si>
  <si>
    <t>Fuel-related  C o s t s   f r o m   C O S</t>
  </si>
  <si>
    <t xml:space="preserve">Adjusted for R/C ratio and Balanced </t>
  </si>
  <si>
    <t>P</t>
  </si>
  <si>
    <t xml:space="preserve">    ELI 2P-RTP (base rate)</t>
  </si>
  <si>
    <t>ATL Classes</t>
  </si>
  <si>
    <t>Total subject to FAM adj. (ATL and AE)</t>
  </si>
  <si>
    <t>Variable</t>
  </si>
  <si>
    <t xml:space="preserve"> Total</t>
  </si>
  <si>
    <t>Fuel Costs before Purchased Power</t>
  </si>
  <si>
    <t>Cost Allocation Factors</t>
  </si>
  <si>
    <t>Total</t>
  </si>
  <si>
    <t>Fuel Costs net of Purchased Power</t>
  </si>
  <si>
    <t>Small General</t>
  </si>
  <si>
    <t>General</t>
  </si>
  <si>
    <t>Large General</t>
  </si>
  <si>
    <t>Small Industrial</t>
  </si>
  <si>
    <t>Medium Industrial</t>
  </si>
  <si>
    <t>Large Industrial</t>
  </si>
  <si>
    <t>Municipal</t>
  </si>
  <si>
    <t>Unmetered</t>
  </si>
  <si>
    <t>Domestic</t>
  </si>
  <si>
    <t>ELI 2P-RTP</t>
  </si>
  <si>
    <t>Sales (MWhs)</t>
  </si>
  <si>
    <t>ATL Total</t>
  </si>
  <si>
    <t>Line Loss Factors from the most recent rate case</t>
  </si>
  <si>
    <t>Requirements (kWhs)</t>
  </si>
  <si>
    <t>Fuel Cost Allocators</t>
  </si>
  <si>
    <t>GRLF</t>
  </si>
  <si>
    <t xml:space="preserve">  kWh Sales</t>
  </si>
  <si>
    <t xml:space="preserve">  Admin Charge Revenues</t>
  </si>
  <si>
    <t xml:space="preserve">  Total Revenues</t>
  </si>
  <si>
    <t xml:space="preserve">   Fuel Costs</t>
  </si>
  <si>
    <t>Fuel costs before PP</t>
  </si>
  <si>
    <t>N</t>
  </si>
  <si>
    <t>R</t>
  </si>
  <si>
    <t>S</t>
  </si>
  <si>
    <t>T</t>
  </si>
  <si>
    <t>Fixed</t>
  </si>
  <si>
    <t xml:space="preserve"> Energy-related</t>
  </si>
  <si>
    <t>Demand-related</t>
  </si>
  <si>
    <t>KW Demand</t>
  </si>
  <si>
    <t>Relative Shares</t>
  </si>
  <si>
    <t>3 CP Demands</t>
  </si>
  <si>
    <t>Energy Requirement</t>
  </si>
  <si>
    <t>KWh Energy</t>
  </si>
  <si>
    <t>AE</t>
  </si>
  <si>
    <t>Additional Energy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</si>
  <si>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</si>
  <si>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</si>
  <si>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</si>
  <si>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</si>
  <si>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</si>
  <si>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</si>
  <si>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</si>
  <si>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</si>
  <si>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</si>
  <si>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</si>
  <si>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</si>
  <si>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</si>
  <si>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Category</t>
  </si>
  <si>
    <t>kWh Sales</t>
  </si>
  <si>
    <t>Revenues</t>
  </si>
  <si>
    <t>BTL with AE (direct expenses)</t>
  </si>
  <si>
    <t>BTL Classes</t>
  </si>
  <si>
    <t>Export kWh Sales</t>
  </si>
  <si>
    <t xml:space="preserve"> Export kWh Sales</t>
  </si>
  <si>
    <t>Domestic Non-TOU</t>
  </si>
  <si>
    <t>Domestic TOU</t>
  </si>
  <si>
    <t>Domestic Total</t>
  </si>
  <si>
    <t>BTL</t>
  </si>
  <si>
    <t>Exports</t>
  </si>
  <si>
    <t>ATL</t>
  </si>
  <si>
    <t>BTL Total</t>
  </si>
  <si>
    <t>Mersey</t>
  </si>
  <si>
    <t>Total w/o exports</t>
  </si>
  <si>
    <t>Purchased Power Regular</t>
  </si>
  <si>
    <t>Purchased Power Wind</t>
  </si>
  <si>
    <t xml:space="preserve">  DSM-related Revenues</t>
  </si>
  <si>
    <t>DSM Unit Costs</t>
  </si>
  <si>
    <t>Mersey Section 2D related</t>
  </si>
  <si>
    <t>Variance</t>
  </si>
  <si>
    <t>Subtotal</t>
  </si>
  <si>
    <t>Mersey S. Section 2D &amp; 11</t>
  </si>
  <si>
    <t>Mersey System Total</t>
  </si>
  <si>
    <t>Fuel Related - Water Royalties</t>
  </si>
  <si>
    <t>Mersey contract Water Royalties</t>
  </si>
  <si>
    <t xml:space="preserve">    PP Wind</t>
  </si>
  <si>
    <t xml:space="preserve">    PP Regular</t>
  </si>
  <si>
    <t>U</t>
  </si>
  <si>
    <t>V</t>
  </si>
  <si>
    <t>Q</t>
  </si>
  <si>
    <t>W</t>
  </si>
  <si>
    <t>Z</t>
  </si>
  <si>
    <t>X</t>
  </si>
  <si>
    <t>% Var</t>
  </si>
  <si>
    <t>Y</t>
  </si>
  <si>
    <t>G x J (line 29)</t>
  </si>
  <si>
    <t>G x K (line 29)</t>
  </si>
  <si>
    <t>K + L</t>
  </si>
  <si>
    <t>J + K + l</t>
  </si>
  <si>
    <t>G * O (line 29)</t>
  </si>
  <si>
    <t>G X P (line 29)</t>
  </si>
  <si>
    <t>E X Q (line 29)</t>
  </si>
  <si>
    <t>P + Q</t>
  </si>
  <si>
    <t>O + P + Q</t>
  </si>
  <si>
    <t>I + N + S</t>
  </si>
  <si>
    <t>G * U (line 29)</t>
  </si>
  <si>
    <t>Annual</t>
  </si>
  <si>
    <t xml:space="preserve">    14 MW block</t>
  </si>
  <si>
    <t xml:space="preserve">    Sections 2D and 11</t>
  </si>
  <si>
    <t xml:space="preserve">   GRLF </t>
  </si>
  <si>
    <t xml:space="preserve">   ELI 2P-RTP (debits &amp; credits only)</t>
  </si>
  <si>
    <t xml:space="preserve">   Mersey Basic Block  (Energy entitlements)</t>
  </si>
  <si>
    <t>Total Fuel Costs</t>
  </si>
  <si>
    <t>2P-RTP Decrem. Energy Rev</t>
  </si>
  <si>
    <t>2P-RTP Increment. Energy Rev</t>
  </si>
  <si>
    <t>Adjusted CBL</t>
  </si>
  <si>
    <t>2 PT RTP Incremental Energy Charges</t>
  </si>
  <si>
    <t>2 PT RTP Decremental Energy Rebates</t>
  </si>
  <si>
    <t>ELI-2P-RTP credits against MAE</t>
  </si>
  <si>
    <t>Recovered Fuel Costs</t>
  </si>
  <si>
    <t>Unit Fuel rates</t>
  </si>
  <si>
    <t>Variance in Fuel Costs before Interest and Incentive</t>
  </si>
  <si>
    <t>Incentive Amount</t>
  </si>
  <si>
    <t>Interest Amount</t>
  </si>
  <si>
    <t>Adjustment after interest</t>
  </si>
  <si>
    <t>Actual Adjustment</t>
  </si>
  <si>
    <t>Cents per KWh</t>
  </si>
  <si>
    <t>Actual Fuel Costs</t>
  </si>
  <si>
    <t>Relative shares in total Variance</t>
  </si>
  <si>
    <t>Variance in Fuel Costs before  Incentive</t>
  </si>
  <si>
    <t xml:space="preserve">Variance in Fuel Costs </t>
  </si>
  <si>
    <t>Variance (debit/credit)</t>
  </si>
  <si>
    <t xml:space="preserve">  Debits</t>
  </si>
  <si>
    <t xml:space="preserve">  Credits</t>
  </si>
  <si>
    <t>OM&amp;G (Solid Fuel Handling) recovered in fuels</t>
  </si>
  <si>
    <t>Foreign Exchange (Fuel-related)</t>
  </si>
  <si>
    <t>Foreign Exchange</t>
  </si>
  <si>
    <t>ELI 2P-RTP Debits\Credits</t>
  </si>
  <si>
    <t>Export kWh Losses</t>
  </si>
  <si>
    <t>NSR</t>
  </si>
  <si>
    <t>In-province Sales</t>
  </si>
  <si>
    <t>Total Sales</t>
  </si>
  <si>
    <t>NSR check</t>
  </si>
  <si>
    <t>NSR simulated</t>
  </si>
  <si>
    <t>NSR actual</t>
  </si>
  <si>
    <t>NSR correction factor</t>
  </si>
  <si>
    <t>OM&amp;G costs recovered in fuels</t>
  </si>
  <si>
    <t>Total Fuel-related costs before Exports, OM&amp;G and Foreign Exchange</t>
  </si>
  <si>
    <t xml:space="preserve">Total Fuel-related costs </t>
  </si>
  <si>
    <t>Simulated Collected Fuel Costs</t>
  </si>
  <si>
    <t>AA</t>
  </si>
  <si>
    <t>AB</t>
  </si>
  <si>
    <t>E x L (line 29)</t>
  </si>
  <si>
    <t>G * V (line 29)</t>
  </si>
  <si>
    <t>G * W (line 29)</t>
  </si>
  <si>
    <t>T + U + V + W</t>
  </si>
  <si>
    <t>X x C</t>
  </si>
  <si>
    <t>AA / H</t>
  </si>
  <si>
    <t>D - E</t>
  </si>
  <si>
    <t>F + J</t>
  </si>
  <si>
    <t>K + M</t>
  </si>
  <si>
    <t xml:space="preserve">   Above the line Subtotal / Average</t>
  </si>
  <si>
    <t>Above the line Classes</t>
  </si>
  <si>
    <t>Adjustment after Incentive</t>
  </si>
  <si>
    <t>Above-the-line Classes</t>
  </si>
  <si>
    <t>Puchased Power Allocation Factors.</t>
  </si>
  <si>
    <t>Below-the-line before Additional Energy</t>
  </si>
  <si>
    <t>Subtotal (BTL before AE &amp; Exports)</t>
  </si>
  <si>
    <t xml:space="preserve">   Total Below-the-line before Additional Energy</t>
  </si>
  <si>
    <t>Total Fuel Costs before Stora Loss</t>
  </si>
  <si>
    <t xml:space="preserve">    Fuel Costs  before PP</t>
  </si>
  <si>
    <t>GR</t>
  </si>
  <si>
    <t>LF</t>
  </si>
  <si>
    <t xml:space="preserve">   Additional Energy</t>
  </si>
  <si>
    <t xml:space="preserve">    Residential Subtotal </t>
  </si>
  <si>
    <t xml:space="preserve">    Unmetered</t>
  </si>
  <si>
    <t xml:space="preserve">    Residential Subtotal</t>
  </si>
  <si>
    <t>Total Debits\Credits</t>
  </si>
  <si>
    <t>ELI 2P-RTP (Adjusted CBL)</t>
  </si>
  <si>
    <t>-</t>
  </si>
  <si>
    <t>+</t>
  </si>
  <si>
    <t>AA predicated on actual numbers</t>
  </si>
  <si>
    <t>Actual AA Collections</t>
  </si>
  <si>
    <t>Additional Energy (BTL) Rate Class</t>
  </si>
  <si>
    <t>Mersey Basic Block Fuel costs under section 2 C/D</t>
  </si>
  <si>
    <t>(1)  Source:  Forecast Data for 2010</t>
  </si>
  <si>
    <t>AE Total</t>
  </si>
  <si>
    <t>FAM Classes Total</t>
  </si>
  <si>
    <t>In-Province Total</t>
  </si>
  <si>
    <t>Cost of Service BA Calculations</t>
  </si>
  <si>
    <t xml:space="preserve">Allocation of Actual Fuel-related Costs among Rate Classes </t>
  </si>
  <si>
    <t>Simulated Interest expense calculations</t>
  </si>
  <si>
    <t>WACC</t>
  </si>
  <si>
    <t>Actual Fuel-related Cost Collections</t>
  </si>
  <si>
    <t>Interest Expense</t>
  </si>
  <si>
    <t>Forgone Collections</t>
  </si>
  <si>
    <t>Cost of Service Final AA Calculations as an input into 2012 BA</t>
  </si>
  <si>
    <t>FOR THE YEAR ENDING DECEMBER 31, 2012</t>
  </si>
  <si>
    <t>FOR THE YEAR ENDING DECEMBER 31, 2011</t>
  </si>
  <si>
    <t>Actual Fuel-related Costs</t>
  </si>
  <si>
    <t>Cum Variance</t>
  </si>
  <si>
    <t>DSM revenue</t>
  </si>
  <si>
    <t>GRLF Admin</t>
  </si>
  <si>
    <t>Fuel-related</t>
  </si>
  <si>
    <t>ELI2P-RTP Debits\Credits</t>
  </si>
  <si>
    <t>Simulated Collected Fuel Costs for incentive calculations</t>
  </si>
  <si>
    <t>Deferred Amount from 2011 FAM AA proceeding</t>
  </si>
  <si>
    <t>S / U</t>
  </si>
  <si>
    <t>Actual BA Collections</t>
  </si>
  <si>
    <t>Simulated BA Collected Fuel Costs</t>
  </si>
  <si>
    <t>C + F+ G</t>
  </si>
  <si>
    <t>H + K</t>
  </si>
  <si>
    <t>E - D</t>
  </si>
  <si>
    <t>H / E</t>
  </si>
  <si>
    <t>H / H (Line 30)</t>
  </si>
  <si>
    <t>J x K (line 30)</t>
  </si>
  <si>
    <t>F / E</t>
  </si>
  <si>
    <t>F / F (Line 32)</t>
  </si>
  <si>
    <t>H x J (line 32)</t>
  </si>
  <si>
    <t>H x M (line 32)</t>
  </si>
  <si>
    <t>D / D (Line 29)</t>
  </si>
  <si>
    <t>F / F (Line 29)</t>
  </si>
  <si>
    <t>(1) Relative Shares (Column J) have been adjusted for the absence of New Page.  This adjustment is based on kilowatt sales</t>
  </si>
  <si>
    <t>(2)  Source: 2012 GRA Refresh filed on August 31st</t>
  </si>
  <si>
    <t>Forecast kWh Sales (2)</t>
  </si>
  <si>
    <t>T / U</t>
  </si>
  <si>
    <t>LRT</t>
  </si>
  <si>
    <t>GRLF Total before MAE</t>
  </si>
  <si>
    <t>MAE fuel costs under LF</t>
  </si>
  <si>
    <t>Total subject to FAM adj. (Above-the-line)</t>
  </si>
  <si>
    <t>MAE options (LIIR =1, LF=0)</t>
  </si>
  <si>
    <t>AE Multiplier</t>
  </si>
  <si>
    <t>LI AE fuel Cost Differential</t>
  </si>
  <si>
    <t>BTL before AE</t>
  </si>
  <si>
    <t>Mersey Basic Block</t>
  </si>
  <si>
    <t>Total BTL Fuel Cost AE</t>
  </si>
  <si>
    <t>Fuel Costs excl. BTL bfr AE</t>
  </si>
  <si>
    <t xml:space="preserve">    AE 14 MW block</t>
  </si>
  <si>
    <t xml:space="preserve">          Fuel Costs  before PP</t>
  </si>
  <si>
    <t xml:space="preserve">          PP Regular Costs</t>
  </si>
  <si>
    <t xml:space="preserve">               Variable</t>
  </si>
  <si>
    <t xml:space="preserve">               Fixed Energy-related</t>
  </si>
  <si>
    <t xml:space="preserve">               Fixed Demand-related</t>
  </si>
  <si>
    <t xml:space="preserve">               Total</t>
  </si>
  <si>
    <t xml:space="preserve">          PP Wind Costs</t>
  </si>
  <si>
    <t xml:space="preserve">          Total</t>
  </si>
  <si>
    <t xml:space="preserve">    AE Section 2C &amp; 2D</t>
  </si>
  <si>
    <t xml:space="preserve">     AE Total</t>
  </si>
  <si>
    <t>ATL-related Fuel Costs</t>
  </si>
  <si>
    <t>Forecast kWh Sales</t>
  </si>
  <si>
    <t>Reallocation of NPPH's AA Contribution to all rate Classes</t>
  </si>
  <si>
    <t>Adjusted Relative Share</t>
  </si>
  <si>
    <t>Allocation of NPPH AA Share</t>
  </si>
  <si>
    <t>Adjustment of reallocation for NPPH Share</t>
  </si>
  <si>
    <t>.</t>
  </si>
  <si>
    <t>R/C Ratio as per 2009 CF</t>
  </si>
  <si>
    <t xml:space="preserve">   LRT</t>
  </si>
  <si>
    <t>N/A</t>
  </si>
  <si>
    <t>AA Filed on Nov 10th Submission</t>
  </si>
  <si>
    <t>Reallocation of FAM Def for NPPH</t>
  </si>
  <si>
    <t>BA Filed on Nov 10th</t>
  </si>
  <si>
    <t>Nov 25th Submission BA with Nov/Dec Actuals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</si>
</sst>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000_);_(* \(#,##0.000000\);_(* &quot;-&quot;??_);_(@_)"/>
    <numFmt numFmtId="169" formatCode="[$$-409]#,##0;[Red]\-[$$-409]#,##0"/>
    <numFmt numFmtId="170" formatCode="0.0%"/>
    <numFmt numFmtId="171" formatCode="[$$-1009]#,##0"/>
    <numFmt numFmtId="172" formatCode="&quot;$&quot;#,##0.00000_);\(&quot;$&quot;#,##0.00000\)"/>
    <numFmt numFmtId="173" formatCode="[$$-1009]#,##0.0000"/>
    <numFmt numFmtId="174" formatCode="&quot;$&quot;#,##0.000000_);\(&quot;$&quot;#,##0.000000\)"/>
    <numFmt numFmtId="175" formatCode="[$$-409]#,##0.00;[Red][$$-409]#,##0.00"/>
    <numFmt numFmtId="176" formatCode="&quot;$&quot;#,##0.00"/>
    <numFmt numFmtId="177" formatCode="#,##0.0"/>
    <numFmt numFmtId="178" formatCode="#,##0.000000"/>
    <numFmt numFmtId="179" formatCode="_-* #,##0.00_-;\-* #,##0.00_-;_-* &quot;-&quot;??_-;_-@_-"/>
    <numFmt numFmtId="180" formatCode="_-&quot;$&quot;* #,##0.00_-;\-&quot;$&quot;* #,##0.00_-;_-&quot;$&quot;* &quot;-&quot;??_-;_-@_-"/>
    <numFmt numFmtId="181" formatCode="_-* #,##0_-;\-* #,##0_-;_-* &quot;-&quot;??_-;_-@_-"/>
    <numFmt numFmtId="182" formatCode="0.000%"/>
    <numFmt numFmtId="183" formatCode="#,##0.0000_);\(#,##0.0000\)"/>
    <numFmt numFmtId="184" formatCode="&quot;$&quot;#,##0.000_);\(&quot;$&quot;#,##0.000\)"/>
    <numFmt numFmtId="185" formatCode="_(&quot;$&quot;* #,##0.000_);_(&quot;$&quot;* \(#,##0.000\);_(&quot;$&quot;* &quot;-&quot;??_);_(@_)"/>
    <numFmt numFmtId="186" formatCode="_-&quot;$&quot;* #,##0_-;\-&quot;$&quot;* #,##0_-;_-&quot;$&quot;* &quot;-&quot;??_-;_-@_-"/>
    <numFmt numFmtId="187" formatCode="&quot;$&quot;#,##0"/>
    <numFmt numFmtId="188" formatCode="&quot;$&quot;#,##0.0_);[Red]\(&quot;$&quot;#,##0.0\)"/>
    <numFmt numFmtId="189" formatCode="[$$-409]#,##0_);\([$$-409]#,##0\)"/>
    <numFmt numFmtId="190" formatCode="_(&quot;$&quot;* #,##0_);_(&quot;$&quot;* \(#,##0\);_(&quot;$&quot;* &quot;-&quot;??_);_(@_)"/>
    <numFmt numFmtId="191" formatCode="0.0"/>
    <numFmt numFmtId="192" formatCode="&quot;$&quot;#,##0.000000_);[Red]\(&quot;$&quot;#,##0.000000\)"/>
    <numFmt numFmtId="193" formatCode="[$$-409]#,##0.0;[Red][$$-409]#,##0.0"/>
    <numFmt numFmtId="194" formatCode="[$$-409]#,##0;[Red][$$-409]#,##0"/>
    <numFmt numFmtId="195" formatCode="&quot;$&quot;#,##0.0_);\(&quot;$&quot;#,##0.0\)"/>
    <numFmt numFmtId="196" formatCode="_(* #,##0.0_);_(* \(#,##0.0\);_(* &quot;-&quot;??_);_(@_)"/>
    <numFmt numFmtId="197" formatCode="[$$-409]#,##0"/>
  </numFmts>
  <fonts count="7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Accounting"/>
      <sz val="9"/>
      <name val="Arial"/>
      <family val="2"/>
    </font>
    <font>
      <u val="single"/>
      <sz val="9"/>
      <color indexed="8"/>
      <name val="Arial"/>
      <family val="2"/>
    </font>
    <font>
      <u val="singleAccounting"/>
      <sz val="9"/>
      <color indexed="8"/>
      <name val="Arial"/>
      <family val="2"/>
    </font>
    <font>
      <b/>
      <sz val="9"/>
      <color indexed="8"/>
      <name val="Arial"/>
      <family val="2"/>
    </font>
    <font>
      <u val="doubleAccounting"/>
      <sz val="9"/>
      <name val="Arial"/>
      <family val="2"/>
    </font>
    <font>
      <u val="doubleAccounting"/>
      <sz val="9"/>
      <color indexed="8"/>
      <name val="Arial"/>
      <family val="2"/>
    </font>
    <font>
      <b/>
      <u val="doubleAccounting"/>
      <sz val="9"/>
      <color indexed="8"/>
      <name val="Arial"/>
      <family val="2"/>
    </font>
    <font>
      <b/>
      <u val="doubleAccounting"/>
      <sz val="9"/>
      <name val="Arial"/>
      <family val="2"/>
    </font>
    <font>
      <b/>
      <u val="doubleAccounting"/>
      <sz val="10"/>
      <name val="Arial"/>
      <family val="2"/>
    </font>
    <font>
      <u val="singleAccounting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b/>
      <sz val="11"/>
      <color indexed="8"/>
      <name val="Arial"/>
      <family val="2"/>
    </font>
    <font>
      <b/>
      <u val="singleAccounting"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u val="doubleAccounting"/>
      <sz val="11"/>
      <name val="Arial"/>
      <family val="2"/>
    </font>
    <font>
      <b/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name val="Arial Narro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48"/>
      <name val="Arial"/>
      <family val="2"/>
    </font>
    <font>
      <b/>
      <sz val="24"/>
      <name val="Arial"/>
      <family val="2"/>
    </font>
    <font>
      <sz val="48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9" fillId="20" borderId="1" applyNumberFormat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0" fontId="5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9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8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7" borderId="1" applyNumberFormat="0" applyAlignment="0" applyProtection="0"/>
    <xf numFmtId="0" fontId="56" fillId="7" borderId="1" applyNumberFormat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39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59" fillId="20" borderId="8" applyNumberFormat="0" applyAlignment="0" applyProtection="0"/>
    <xf numFmtId="0" fontId="59" fillId="20" borderId="8" applyNumberFormat="0" applyAlignment="0" applyProtection="0"/>
    <xf numFmtId="40" fontId="40" fillId="24" borderId="0">
      <alignment horizontal="right"/>
      <protection/>
    </xf>
    <xf numFmtId="0" fontId="41" fillId="24" borderId="0">
      <alignment horizontal="right"/>
      <protection/>
    </xf>
    <xf numFmtId="0" fontId="42" fillId="24" borderId="9">
      <alignment/>
      <protection/>
    </xf>
    <xf numFmtId="0" fontId="42" fillId="0" borderId="0" applyBorder="0">
      <alignment horizontal="centerContinuous"/>
      <protection/>
    </xf>
    <xf numFmtId="0" fontId="43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5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24" borderId="11" xfId="0" applyFont="1" applyFill="1" applyBorder="1" applyAlignment="1">
      <alignment horizontal="center" wrapText="1"/>
    </xf>
    <xf numFmtId="0" fontId="1" fillId="24" borderId="9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9" fontId="9" fillId="25" borderId="11" xfId="0" applyNumberFormat="1" applyFont="1" applyFill="1" applyBorder="1" applyAlignment="1">
      <alignment horizontal="right" vertical="center"/>
    </xf>
    <xf numFmtId="169" fontId="9" fillId="25" borderId="0" xfId="0" applyNumberFormat="1" applyFont="1" applyFill="1" applyBorder="1" applyAlignment="1">
      <alignment horizontal="right" vertical="center"/>
    </xf>
    <xf numFmtId="169" fontId="9" fillId="25" borderId="9" xfId="0" applyNumberFormat="1" applyFont="1" applyFill="1" applyBorder="1" applyAlignment="1">
      <alignment horizontal="right" vertical="center"/>
    </xf>
    <xf numFmtId="169" fontId="7" fillId="25" borderId="11" xfId="0" applyNumberFormat="1" applyFont="1" applyFill="1" applyBorder="1" applyAlignment="1">
      <alignment horizontal="right" vertical="center"/>
    </xf>
    <xf numFmtId="169" fontId="7" fillId="25" borderId="0" xfId="0" applyNumberFormat="1" applyFont="1" applyFill="1" applyBorder="1" applyAlignment="1">
      <alignment horizontal="right" vertical="center"/>
    </xf>
    <xf numFmtId="169" fontId="7" fillId="25" borderId="9" xfId="0" applyNumberFormat="1" applyFont="1" applyFill="1" applyBorder="1" applyAlignment="1">
      <alignment horizontal="right" vertical="center"/>
    </xf>
    <xf numFmtId="169" fontId="10" fillId="25" borderId="11" xfId="0" applyNumberFormat="1" applyFont="1" applyFill="1" applyBorder="1" applyAlignment="1">
      <alignment horizontal="right" vertical="center"/>
    </xf>
    <xf numFmtId="169" fontId="10" fillId="25" borderId="0" xfId="0" applyNumberFormat="1" applyFont="1" applyFill="1" applyBorder="1" applyAlignment="1">
      <alignment horizontal="right" vertical="center"/>
    </xf>
    <xf numFmtId="169" fontId="10" fillId="25" borderId="9" xfId="0" applyNumberFormat="1" applyFont="1" applyFill="1" applyBorder="1" applyAlignment="1">
      <alignment horizontal="right" vertical="center"/>
    </xf>
    <xf numFmtId="170" fontId="7" fillId="25" borderId="0" xfId="131" applyNumberFormat="1" applyFont="1" applyFill="1" applyBorder="1" applyAlignment="1">
      <alignment horizontal="right" vertical="center"/>
    </xf>
    <xf numFmtId="170" fontId="9" fillId="25" borderId="0" xfId="131" applyNumberFormat="1" applyFont="1" applyFill="1" applyBorder="1" applyAlignment="1">
      <alignment horizontal="right" vertical="center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169" fontId="13" fillId="25" borderId="0" xfId="0" applyNumberFormat="1" applyFont="1" applyFill="1" applyBorder="1" applyAlignment="1">
      <alignment horizontal="right" vertical="center"/>
    </xf>
    <xf numFmtId="169" fontId="13" fillId="25" borderId="9" xfId="0" applyNumberFormat="1" applyFont="1" applyFill="1" applyBorder="1" applyAlignment="1">
      <alignment horizontal="right" vertical="center"/>
    </xf>
    <xf numFmtId="169" fontId="14" fillId="25" borderId="11" xfId="0" applyNumberFormat="1" applyFont="1" applyFill="1" applyBorder="1" applyAlignment="1">
      <alignment horizontal="right" vertical="center"/>
    </xf>
    <xf numFmtId="169" fontId="14" fillId="25" borderId="0" xfId="0" applyNumberFormat="1" applyFont="1" applyFill="1" applyBorder="1" applyAlignment="1">
      <alignment horizontal="right" vertical="center"/>
    </xf>
    <xf numFmtId="169" fontId="14" fillId="25" borderId="9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/>
    </xf>
    <xf numFmtId="169" fontId="0" fillId="0" borderId="0" xfId="0" applyNumberFormat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1" xfId="0" applyBorder="1" applyAlignment="1">
      <alignment/>
    </xf>
    <xf numFmtId="169" fontId="13" fillId="25" borderId="19" xfId="0" applyNumberFormat="1" applyFont="1" applyFill="1" applyBorder="1" applyAlignment="1">
      <alignment horizontal="right" vertical="center"/>
    </xf>
    <xf numFmtId="169" fontId="13" fillId="25" borderId="20" xfId="0" applyNumberFormat="1" applyFont="1" applyFill="1" applyBorder="1" applyAlignment="1">
      <alignment horizontal="right" vertical="center"/>
    </xf>
    <xf numFmtId="169" fontId="13" fillId="25" borderId="21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" fillId="24" borderId="2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24" borderId="24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64" fontId="0" fillId="0" borderId="0" xfId="69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9" xfId="0" applyFill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5" xfId="0" applyFill="1" applyBorder="1" applyAlignment="1">
      <alignment/>
    </xf>
    <xf numFmtId="164" fontId="11" fillId="25" borderId="0" xfId="69" applyNumberFormat="1" applyFont="1" applyFill="1" applyBorder="1" applyAlignment="1">
      <alignment vertical="center"/>
    </xf>
    <xf numFmtId="164" fontId="0" fillId="0" borderId="0" xfId="69" applyNumberFormat="1" applyFont="1" applyFill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0" fontId="36" fillId="0" borderId="9" xfId="131" applyNumberFormat="1" applyFont="1" applyFill="1" applyBorder="1" applyAlignment="1">
      <alignment horizontal="right" vertical="center"/>
    </xf>
    <xf numFmtId="10" fontId="7" fillId="25" borderId="14" xfId="131" applyNumberFormat="1" applyFont="1" applyFill="1" applyBorder="1" applyAlignment="1">
      <alignment horizontal="right" vertical="center"/>
    </xf>
    <xf numFmtId="10" fontId="10" fillId="25" borderId="14" xfId="131" applyNumberFormat="1" applyFont="1" applyFill="1" applyBorder="1" applyAlignment="1">
      <alignment horizontal="right" vertical="center"/>
    </xf>
    <xf numFmtId="10" fontId="0" fillId="0" borderId="14" xfId="131" applyNumberFormat="1" applyFont="1" applyBorder="1" applyAlignment="1">
      <alignment/>
    </xf>
    <xf numFmtId="165" fontId="0" fillId="0" borderId="0" xfId="69" applyNumberFormat="1" applyFont="1" applyAlignment="1">
      <alignment/>
    </xf>
    <xf numFmtId="0" fontId="3" fillId="24" borderId="25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wrapText="1"/>
    </xf>
    <xf numFmtId="165" fontId="6" fillId="24" borderId="9" xfId="69" applyNumberFormat="1" applyFont="1" applyFill="1" applyBorder="1" applyAlignment="1">
      <alignment/>
    </xf>
    <xf numFmtId="165" fontId="9" fillId="25" borderId="9" xfId="69" applyNumberFormat="1" applyFont="1" applyFill="1" applyBorder="1" applyAlignment="1">
      <alignment horizontal="right" vertical="center"/>
    </xf>
    <xf numFmtId="165" fontId="32" fillId="25" borderId="9" xfId="69" applyNumberFormat="1" applyFont="1" applyFill="1" applyBorder="1" applyAlignment="1">
      <alignment horizontal="right" vertical="center"/>
    </xf>
    <xf numFmtId="165" fontId="33" fillId="25" borderId="9" xfId="69" applyNumberFormat="1" applyFont="1" applyFill="1" applyBorder="1" applyAlignment="1">
      <alignment horizontal="right" vertical="center"/>
    </xf>
    <xf numFmtId="165" fontId="34" fillId="25" borderId="9" xfId="69" applyNumberFormat="1" applyFont="1" applyFill="1" applyBorder="1" applyAlignment="1">
      <alignment horizontal="right" vertical="center"/>
    </xf>
    <xf numFmtId="165" fontId="11" fillId="25" borderId="9" xfId="69" applyNumberFormat="1" applyFont="1" applyFill="1" applyBorder="1" applyAlignment="1">
      <alignment horizontal="right" vertical="center"/>
    </xf>
    <xf numFmtId="165" fontId="7" fillId="25" borderId="9" xfId="69" applyNumberFormat="1" applyFont="1" applyFill="1" applyBorder="1" applyAlignment="1">
      <alignment horizontal="right" vertical="center"/>
    </xf>
    <xf numFmtId="0" fontId="0" fillId="24" borderId="0" xfId="0" applyFill="1" applyAlignment="1">
      <alignment/>
    </xf>
    <xf numFmtId="164" fontId="0" fillId="24" borderId="0" xfId="69" applyNumberFormat="1" applyFont="1" applyFill="1" applyAlignment="1">
      <alignment/>
    </xf>
    <xf numFmtId="164" fontId="0" fillId="24" borderId="0" xfId="0" applyNumberFormat="1" applyFill="1" applyAlignment="1">
      <alignment/>
    </xf>
    <xf numFmtId="6" fontId="1" fillId="0" borderId="11" xfId="69" applyNumberFormat="1" applyFont="1" applyBorder="1" applyAlignment="1">
      <alignment horizontal="right"/>
    </xf>
    <xf numFmtId="6" fontId="30" fillId="0" borderId="11" xfId="69" applyNumberFormat="1" applyFont="1" applyBorder="1" applyAlignment="1">
      <alignment horizontal="right"/>
    </xf>
    <xf numFmtId="6" fontId="1" fillId="0" borderId="0" xfId="69" applyNumberFormat="1" applyFont="1" applyBorder="1" applyAlignment="1">
      <alignment/>
    </xf>
    <xf numFmtId="6" fontId="1" fillId="0" borderId="11" xfId="0" applyNumberFormat="1" applyFont="1" applyBorder="1" applyAlignment="1">
      <alignment horizontal="right"/>
    </xf>
    <xf numFmtId="6" fontId="1" fillId="0" borderId="11" xfId="69" applyNumberFormat="1" applyFont="1" applyBorder="1" applyAlignment="1">
      <alignment/>
    </xf>
    <xf numFmtId="6" fontId="14" fillId="25" borderId="11" xfId="0" applyNumberFormat="1" applyFont="1" applyFill="1" applyBorder="1" applyAlignment="1">
      <alignment horizontal="right" vertical="center"/>
    </xf>
    <xf numFmtId="6" fontId="14" fillId="25" borderId="0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0" fontId="36" fillId="0" borderId="0" xfId="131" applyNumberFormat="1" applyFont="1" applyFill="1" applyBorder="1" applyAlignment="1">
      <alignment horizontal="right" vertical="center"/>
    </xf>
    <xf numFmtId="10" fontId="37" fillId="0" borderId="0" xfId="131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6" fontId="36" fillId="0" borderId="0" xfId="131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6" fontId="1" fillId="0" borderId="9" xfId="69" applyNumberFormat="1" applyFont="1" applyBorder="1" applyAlignment="1">
      <alignment/>
    </xf>
    <xf numFmtId="6" fontId="36" fillId="0" borderId="11" xfId="131" applyNumberFormat="1" applyFont="1" applyFill="1" applyBorder="1" applyAlignment="1">
      <alignment horizontal="right" vertical="center"/>
    </xf>
    <xf numFmtId="6" fontId="36" fillId="0" borderId="9" xfId="131" applyNumberFormat="1" applyFont="1" applyFill="1" applyBorder="1" applyAlignment="1">
      <alignment horizontal="right" vertical="center"/>
    </xf>
    <xf numFmtId="10" fontId="36" fillId="0" borderId="11" xfId="131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1" xfId="0" applyFont="1" applyFill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 wrapText="1"/>
    </xf>
    <xf numFmtId="164" fontId="0" fillId="0" borderId="19" xfId="69" applyNumberFormat="1" applyFont="1" applyBorder="1" applyAlignment="1">
      <alignment/>
    </xf>
    <xf numFmtId="165" fontId="0" fillId="0" borderId="9" xfId="0" applyNumberFormat="1" applyBorder="1" applyAlignment="1">
      <alignment/>
    </xf>
    <xf numFmtId="175" fontId="0" fillId="0" borderId="0" xfId="0" applyNumberFormat="1" applyAlignment="1">
      <alignment/>
    </xf>
    <xf numFmtId="165" fontId="35" fillId="24" borderId="9" xfId="69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 horizontal="center" wrapText="1"/>
    </xf>
    <xf numFmtId="0" fontId="0" fillId="24" borderId="28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1" fillId="24" borderId="29" xfId="0" applyFont="1" applyFill="1" applyBorder="1" applyAlignment="1">
      <alignment/>
    </xf>
    <xf numFmtId="0" fontId="0" fillId="24" borderId="14" xfId="0" applyFill="1" applyBorder="1" applyAlignment="1">
      <alignment/>
    </xf>
    <xf numFmtId="0" fontId="18" fillId="24" borderId="30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 wrapText="1"/>
    </xf>
    <xf numFmtId="0" fontId="1" fillId="24" borderId="29" xfId="0" applyFont="1" applyFill="1" applyBorder="1" applyAlignment="1">
      <alignment horizontal="center"/>
    </xf>
    <xf numFmtId="0" fontId="1" fillId="24" borderId="31" xfId="0" applyFont="1" applyFill="1" applyBorder="1" applyAlignment="1">
      <alignment horizontal="center"/>
    </xf>
    <xf numFmtId="0" fontId="1" fillId="24" borderId="29" xfId="0" applyFont="1" applyFill="1" applyBorder="1" applyAlignment="1">
      <alignment horizontal="left"/>
    </xf>
    <xf numFmtId="0" fontId="1" fillId="24" borderId="9" xfId="0" applyFont="1" applyFill="1" applyBorder="1" applyAlignment="1">
      <alignment horizontal="center"/>
    </xf>
    <xf numFmtId="0" fontId="0" fillId="24" borderId="29" xfId="0" applyFill="1" applyBorder="1" applyAlignment="1">
      <alignment/>
    </xf>
    <xf numFmtId="0" fontId="0" fillId="24" borderId="31" xfId="0" applyFill="1" applyBorder="1" applyAlignment="1">
      <alignment/>
    </xf>
    <xf numFmtId="0" fontId="0" fillId="24" borderId="9" xfId="0" applyFill="1" applyBorder="1" applyAlignment="1">
      <alignment/>
    </xf>
    <xf numFmtId="164" fontId="6" fillId="24" borderId="31" xfId="69" applyNumberFormat="1" applyFont="1" applyFill="1" applyBorder="1" applyAlignment="1">
      <alignment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9" xfId="0" applyFont="1" applyFill="1" applyBorder="1" applyAlignment="1">
      <alignment/>
    </xf>
    <xf numFmtId="164" fontId="8" fillId="24" borderId="31" xfId="69" applyNumberFormat="1" applyFont="1" applyFill="1" applyBorder="1" applyAlignment="1">
      <alignment/>
    </xf>
    <xf numFmtId="170" fontId="0" fillId="24" borderId="31" xfId="131" applyNumberFormat="1" applyFont="1" applyFill="1" applyBorder="1" applyAlignment="1">
      <alignment/>
    </xf>
    <xf numFmtId="164" fontId="6" fillId="24" borderId="9" xfId="69" applyNumberFormat="1" applyFont="1" applyFill="1" applyBorder="1" applyAlignment="1">
      <alignment/>
    </xf>
    <xf numFmtId="170" fontId="6" fillId="24" borderId="9" xfId="131" applyNumberFormat="1" applyFont="1" applyFill="1" applyBorder="1" applyAlignment="1">
      <alignment/>
    </xf>
    <xf numFmtId="10" fontId="0" fillId="24" borderId="0" xfId="131" applyNumberFormat="1" applyFont="1" applyFill="1" applyBorder="1" applyAlignment="1">
      <alignment/>
    </xf>
    <xf numFmtId="10" fontId="0" fillId="24" borderId="0" xfId="0" applyNumberFormat="1" applyFill="1" applyBorder="1" applyAlignment="1">
      <alignment/>
    </xf>
    <xf numFmtId="170" fontId="27" fillId="24" borderId="9" xfId="131" applyNumberFormat="1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1" xfId="0" applyFill="1" applyBorder="1" applyAlignment="1">
      <alignment/>
    </xf>
    <xf numFmtId="169" fontId="0" fillId="24" borderId="9" xfId="0" applyNumberFormat="1" applyFill="1" applyBorder="1" applyAlignment="1">
      <alignment/>
    </xf>
    <xf numFmtId="169" fontId="0" fillId="24" borderId="0" xfId="0" applyNumberFormat="1" applyFill="1" applyBorder="1" applyAlignment="1">
      <alignment/>
    </xf>
    <xf numFmtId="170" fontId="1" fillId="24" borderId="11" xfId="131" applyNumberFormat="1" applyFont="1" applyFill="1" applyBorder="1" applyAlignment="1">
      <alignment/>
    </xf>
    <xf numFmtId="170" fontId="1" fillId="24" borderId="19" xfId="131" applyNumberFormat="1" applyFont="1" applyFill="1" applyBorder="1" applyAlignment="1">
      <alignment/>
    </xf>
    <xf numFmtId="170" fontId="1" fillId="24" borderId="20" xfId="131" applyNumberFormat="1" applyFont="1" applyFill="1" applyBorder="1" applyAlignment="1">
      <alignment/>
    </xf>
    <xf numFmtId="170" fontId="1" fillId="24" borderId="21" xfId="131" applyNumberFormat="1" applyFont="1" applyFill="1" applyBorder="1" applyAlignment="1">
      <alignment/>
    </xf>
    <xf numFmtId="170" fontId="1" fillId="24" borderId="0" xfId="131" applyNumberFormat="1" applyFont="1" applyFill="1" applyBorder="1" applyAlignment="1">
      <alignment/>
    </xf>
    <xf numFmtId="170" fontId="0" fillId="24" borderId="0" xfId="131" applyNumberFormat="1" applyFont="1" applyFill="1" applyBorder="1" applyAlignment="1">
      <alignment/>
    </xf>
    <xf numFmtId="169" fontId="0" fillId="24" borderId="11" xfId="0" applyNumberFormat="1" applyFill="1" applyBorder="1" applyAlignment="1">
      <alignment/>
    </xf>
    <xf numFmtId="0" fontId="0" fillId="24" borderId="0" xfId="0" applyFill="1" applyBorder="1" applyAlignment="1">
      <alignment horizontal="right"/>
    </xf>
    <xf numFmtId="170" fontId="17" fillId="24" borderId="0" xfId="131" applyNumberFormat="1" applyFont="1" applyFill="1" applyBorder="1" applyAlignment="1">
      <alignment/>
    </xf>
    <xf numFmtId="169" fontId="23" fillId="24" borderId="11" xfId="0" applyNumberFormat="1" applyFont="1" applyFill="1" applyBorder="1" applyAlignment="1">
      <alignment/>
    </xf>
    <xf numFmtId="169" fontId="23" fillId="24" borderId="0" xfId="0" applyNumberFormat="1" applyFont="1" applyFill="1" applyBorder="1" applyAlignment="1">
      <alignment/>
    </xf>
    <xf numFmtId="0" fontId="1" fillId="24" borderId="17" xfId="0" applyFont="1" applyFill="1" applyBorder="1" applyAlignment="1">
      <alignment horizontal="center" wrapText="1"/>
    </xf>
    <xf numFmtId="0" fontId="1" fillId="24" borderId="31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164" fontId="15" fillId="24" borderId="31" xfId="69" applyNumberFormat="1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164" fontId="15" fillId="24" borderId="9" xfId="69" applyNumberFormat="1" applyFont="1" applyFill="1" applyBorder="1" applyAlignment="1">
      <alignment/>
    </xf>
    <xf numFmtId="164" fontId="12" fillId="24" borderId="9" xfId="69" applyNumberFormat="1" applyFont="1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32" xfId="0" applyFill="1" applyBorder="1" applyAlignment="1">
      <alignment/>
    </xf>
    <xf numFmtId="0" fontId="0" fillId="24" borderId="33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169" fontId="0" fillId="24" borderId="0" xfId="0" applyNumberFormat="1" applyFill="1" applyAlignment="1">
      <alignment/>
    </xf>
    <xf numFmtId="6" fontId="7" fillId="25" borderId="11" xfId="0" applyNumberFormat="1" applyFont="1" applyFill="1" applyBorder="1" applyAlignment="1">
      <alignment horizontal="right" vertical="center"/>
    </xf>
    <xf numFmtId="6" fontId="0" fillId="24" borderId="11" xfId="0" applyNumberFormat="1" applyFill="1" applyBorder="1" applyAlignment="1">
      <alignment/>
    </xf>
    <xf numFmtId="6" fontId="0" fillId="24" borderId="0" xfId="0" applyNumberFormat="1" applyFill="1" applyBorder="1" applyAlignment="1">
      <alignment/>
    </xf>
    <xf numFmtId="6" fontId="0" fillId="24" borderId="9" xfId="0" applyNumberFormat="1" applyFill="1" applyBorder="1" applyAlignment="1">
      <alignment/>
    </xf>
    <xf numFmtId="6" fontId="7" fillId="25" borderId="9" xfId="0" applyNumberFormat="1" applyFont="1" applyFill="1" applyBorder="1" applyAlignment="1">
      <alignment horizontal="right" vertical="center"/>
    </xf>
    <xf numFmtId="6" fontId="7" fillId="25" borderId="0" xfId="0" applyNumberFormat="1" applyFont="1" applyFill="1" applyBorder="1" applyAlignment="1">
      <alignment horizontal="right" vertical="center"/>
    </xf>
    <xf numFmtId="6" fontId="15" fillId="24" borderId="31" xfId="69" applyNumberFormat="1" applyFont="1" applyFill="1" applyBorder="1" applyAlignment="1">
      <alignment/>
    </xf>
    <xf numFmtId="6" fontId="15" fillId="24" borderId="11" xfId="69" applyNumberFormat="1" applyFont="1" applyFill="1" applyBorder="1" applyAlignment="1">
      <alignment/>
    </xf>
    <xf numFmtId="6" fontId="15" fillId="24" borderId="0" xfId="69" applyNumberFormat="1" applyFont="1" applyFill="1" applyBorder="1" applyAlignment="1">
      <alignment/>
    </xf>
    <xf numFmtId="6" fontId="16" fillId="24" borderId="11" xfId="0" applyNumberFormat="1" applyFont="1" applyFill="1" applyBorder="1" applyAlignment="1">
      <alignment/>
    </xf>
    <xf numFmtId="6" fontId="16" fillId="24" borderId="0" xfId="0" applyNumberFormat="1" applyFont="1" applyFill="1" applyBorder="1" applyAlignment="1">
      <alignment/>
    </xf>
    <xf numFmtId="6" fontId="16" fillId="24" borderId="9" xfId="0" applyNumberFormat="1" applyFont="1" applyFill="1" applyBorder="1" applyAlignment="1">
      <alignment/>
    </xf>
    <xf numFmtId="6" fontId="0" fillId="0" borderId="0" xfId="0" applyNumberFormat="1" applyAlignment="1">
      <alignment/>
    </xf>
    <xf numFmtId="0" fontId="3" fillId="24" borderId="0" xfId="0" applyFont="1" applyFill="1" applyAlignment="1">
      <alignment horizontal="center"/>
    </xf>
    <xf numFmtId="170" fontId="0" fillId="0" borderId="0" xfId="131" applyNumberFormat="1" applyFont="1" applyFill="1" applyBorder="1" applyAlignment="1">
      <alignment/>
    </xf>
    <xf numFmtId="170" fontId="0" fillId="0" borderId="31" xfId="131" applyNumberFormat="1" applyFont="1" applyFill="1" applyBorder="1" applyAlignment="1">
      <alignment/>
    </xf>
    <xf numFmtId="164" fontId="6" fillId="0" borderId="31" xfId="69" applyNumberFormat="1" applyFont="1" applyFill="1" applyBorder="1" applyAlignment="1">
      <alignment/>
    </xf>
    <xf numFmtId="164" fontId="6" fillId="0" borderId="9" xfId="69" applyNumberFormat="1" applyFont="1" applyFill="1" applyBorder="1" applyAlignment="1">
      <alignment/>
    </xf>
    <xf numFmtId="169" fontId="7" fillId="0" borderId="0" xfId="0" applyNumberFormat="1" applyFont="1" applyFill="1" applyBorder="1" applyAlignment="1">
      <alignment horizontal="right" vertical="center"/>
    </xf>
    <xf numFmtId="169" fontId="7" fillId="0" borderId="11" xfId="0" applyNumberFormat="1" applyFont="1" applyFill="1" applyBorder="1" applyAlignment="1">
      <alignment horizontal="right" vertical="center"/>
    </xf>
    <xf numFmtId="169" fontId="7" fillId="0" borderId="9" xfId="0" applyNumberFormat="1" applyFont="1" applyFill="1" applyBorder="1" applyAlignment="1">
      <alignment horizontal="right" vertical="center"/>
    </xf>
    <xf numFmtId="169" fontId="0" fillId="0" borderId="0" xfId="0" applyNumberFormat="1" applyFill="1" applyBorder="1" applyAlignment="1">
      <alignment/>
    </xf>
    <xf numFmtId="165" fontId="32" fillId="0" borderId="9" xfId="69" applyNumberFormat="1" applyFont="1" applyFill="1" applyBorder="1" applyAlignment="1">
      <alignment horizontal="right" vertical="center"/>
    </xf>
    <xf numFmtId="164" fontId="8" fillId="0" borderId="31" xfId="69" applyNumberFormat="1" applyFont="1" applyFill="1" applyBorder="1" applyAlignment="1">
      <alignment/>
    </xf>
    <xf numFmtId="164" fontId="8" fillId="0" borderId="9" xfId="69" applyNumberFormat="1" applyFont="1" applyFill="1" applyBorder="1" applyAlignment="1">
      <alignment/>
    </xf>
    <xf numFmtId="169" fontId="10" fillId="0" borderId="0" xfId="0" applyNumberFormat="1" applyFont="1" applyFill="1" applyBorder="1" applyAlignment="1">
      <alignment horizontal="right" vertical="center"/>
    </xf>
    <xf numFmtId="169" fontId="10" fillId="0" borderId="11" xfId="0" applyNumberFormat="1" applyFont="1" applyFill="1" applyBorder="1" applyAlignment="1">
      <alignment horizontal="right" vertical="center"/>
    </xf>
    <xf numFmtId="169" fontId="9" fillId="0" borderId="9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/>
    </xf>
    <xf numFmtId="169" fontId="23" fillId="0" borderId="0" xfId="0" applyNumberFormat="1" applyFont="1" applyFill="1" applyBorder="1" applyAlignment="1">
      <alignment/>
    </xf>
    <xf numFmtId="165" fontId="7" fillId="0" borderId="9" xfId="69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 horizontal="right" vertical="center"/>
    </xf>
    <xf numFmtId="169" fontId="9" fillId="0" borderId="11" xfId="0" applyNumberFormat="1" applyFont="1" applyFill="1" applyBorder="1" applyAlignment="1">
      <alignment horizontal="right" vertical="center"/>
    </xf>
    <xf numFmtId="164" fontId="15" fillId="0" borderId="31" xfId="69" applyNumberFormat="1" applyFont="1" applyFill="1" applyBorder="1" applyAlignment="1">
      <alignment/>
    </xf>
    <xf numFmtId="164" fontId="12" fillId="0" borderId="9" xfId="69" applyNumberFormat="1" applyFont="1" applyFill="1" applyBorder="1" applyAlignment="1">
      <alignment/>
    </xf>
    <xf numFmtId="164" fontId="15" fillId="0" borderId="9" xfId="69" applyNumberFormat="1" applyFont="1" applyFill="1" applyBorder="1" applyAlignment="1">
      <alignment/>
    </xf>
    <xf numFmtId="169" fontId="13" fillId="0" borderId="0" xfId="0" applyNumberFormat="1" applyFont="1" applyFill="1" applyBorder="1" applyAlignment="1">
      <alignment horizontal="right" vertical="center"/>
    </xf>
    <xf numFmtId="169" fontId="13" fillId="0" borderId="9" xfId="0" applyNumberFormat="1" applyFont="1" applyFill="1" applyBorder="1" applyAlignment="1">
      <alignment horizontal="right" vertical="center"/>
    </xf>
    <xf numFmtId="169" fontId="14" fillId="0" borderId="0" xfId="0" applyNumberFormat="1" applyFont="1" applyFill="1" applyBorder="1" applyAlignment="1">
      <alignment horizontal="right" vertical="center"/>
    </xf>
    <xf numFmtId="164" fontId="12" fillId="24" borderId="31" xfId="69" applyNumberFormat="1" applyFont="1" applyFill="1" applyBorder="1" applyAlignment="1">
      <alignment/>
    </xf>
    <xf numFmtId="8" fontId="0" fillId="0" borderId="0" xfId="0" applyNumberFormat="1" applyAlignment="1">
      <alignment/>
    </xf>
    <xf numFmtId="6" fontId="44" fillId="0" borderId="0" xfId="0" applyNumberFormat="1" applyFont="1" applyAlignment="1">
      <alignment/>
    </xf>
    <xf numFmtId="176" fontId="45" fillId="0" borderId="0" xfId="120" applyNumberFormat="1" applyFont="1">
      <alignment/>
      <protection/>
    </xf>
    <xf numFmtId="0" fontId="0" fillId="24" borderId="34" xfId="0" applyFill="1" applyBorder="1" applyAlignment="1">
      <alignment/>
    </xf>
    <xf numFmtId="0" fontId="0" fillId="0" borderId="0" xfId="0" applyAlignment="1">
      <alignment wrapText="1"/>
    </xf>
    <xf numFmtId="6" fontId="1" fillId="0" borderId="0" xfId="69" applyNumberFormat="1" applyFont="1" applyBorder="1" applyAlignment="1">
      <alignment horizontal="right"/>
    </xf>
    <xf numFmtId="6" fontId="1" fillId="0" borderId="0" xfId="0" applyNumberFormat="1" applyFont="1" applyBorder="1" applyAlignment="1">
      <alignment horizontal="right"/>
    </xf>
    <xf numFmtId="164" fontId="0" fillId="24" borderId="31" xfId="69" applyNumberFormat="1" applyFont="1" applyFill="1" applyBorder="1" applyAlignment="1">
      <alignment/>
    </xf>
    <xf numFmtId="164" fontId="17" fillId="24" borderId="31" xfId="69" applyNumberFormat="1" applyFont="1" applyFill="1" applyBorder="1" applyAlignment="1">
      <alignment/>
    </xf>
    <xf numFmtId="164" fontId="31" fillId="24" borderId="31" xfId="69" applyNumberFormat="1" applyFont="1" applyFill="1" applyBorder="1" applyAlignment="1">
      <alignment/>
    </xf>
    <xf numFmtId="164" fontId="1" fillId="24" borderId="31" xfId="69" applyNumberFormat="1" applyFont="1" applyFill="1" applyBorder="1" applyAlignment="1">
      <alignment/>
    </xf>
    <xf numFmtId="164" fontId="0" fillId="0" borderId="31" xfId="69" applyNumberFormat="1" applyFont="1" applyFill="1" applyBorder="1" applyAlignment="1">
      <alignment/>
    </xf>
    <xf numFmtId="164" fontId="17" fillId="0" borderId="31" xfId="69" applyNumberFormat="1" applyFont="1" applyFill="1" applyBorder="1" applyAlignment="1">
      <alignment/>
    </xf>
    <xf numFmtId="164" fontId="0" fillId="0" borderId="11" xfId="69" applyNumberFormat="1" applyBorder="1" applyAlignment="1">
      <alignment/>
    </xf>
    <xf numFmtId="10" fontId="0" fillId="0" borderId="14" xfId="131" applyNumberFormat="1" applyBorder="1" applyAlignment="1">
      <alignment/>
    </xf>
    <xf numFmtId="165" fontId="0" fillId="0" borderId="0" xfId="69" applyNumberFormat="1" applyAlignment="1">
      <alignment/>
    </xf>
    <xf numFmtId="170" fontId="0" fillId="0" borderId="0" xfId="131" applyNumberFormat="1" applyAlignment="1">
      <alignment/>
    </xf>
    <xf numFmtId="164" fontId="0" fillId="0" borderId="19" xfId="69" applyNumberFormat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1" xfId="0" applyFont="1" applyFill="1" applyBorder="1" applyAlignment="1">
      <alignment horizontal="center" wrapText="1"/>
    </xf>
    <xf numFmtId="0" fontId="0" fillId="0" borderId="33" xfId="0" applyFill="1" applyBorder="1" applyAlignment="1">
      <alignment/>
    </xf>
    <xf numFmtId="168" fontId="0" fillId="0" borderId="9" xfId="0" applyNumberFormat="1" applyBorder="1" applyAlignment="1">
      <alignment/>
    </xf>
    <xf numFmtId="10" fontId="0" fillId="0" borderId="0" xfId="131" applyNumberFormat="1" applyFont="1" applyAlignment="1">
      <alignment/>
    </xf>
    <xf numFmtId="0" fontId="20" fillId="24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Alignment="1">
      <alignment wrapText="1"/>
    </xf>
    <xf numFmtId="0" fontId="29" fillId="0" borderId="0" xfId="0" applyFont="1" applyAlignment="1">
      <alignment horizontal="center"/>
    </xf>
    <xf numFmtId="0" fontId="19" fillId="24" borderId="0" xfId="0" applyFont="1" applyFill="1" applyAlignment="1">
      <alignment horizontal="center" wrapText="1"/>
    </xf>
    <xf numFmtId="0" fontId="29" fillId="24" borderId="0" xfId="0" applyFont="1" applyFill="1" applyAlignment="1">
      <alignment horizontal="center"/>
    </xf>
    <xf numFmtId="0" fontId="18" fillId="0" borderId="0" xfId="0" applyFont="1" applyAlignment="1">
      <alignment horizontal="center" wrapText="1"/>
    </xf>
    <xf numFmtId="6" fontId="1" fillId="0" borderId="11" xfId="69" applyNumberFormat="1" applyFont="1" applyFill="1" applyBorder="1" applyAlignment="1">
      <alignment/>
    </xf>
    <xf numFmtId="0" fontId="19" fillId="24" borderId="0" xfId="0" applyFont="1" applyFill="1" applyAlignment="1">
      <alignment horizontal="center"/>
    </xf>
    <xf numFmtId="165" fontId="0" fillId="0" borderId="9" xfId="0" applyNumberFormat="1" applyFill="1" applyBorder="1" applyAlignment="1">
      <alignment/>
    </xf>
    <xf numFmtId="6" fontId="1" fillId="0" borderId="0" xfId="0" applyNumberFormat="1" applyFont="1" applyAlignment="1">
      <alignment/>
    </xf>
    <xf numFmtId="6" fontId="1" fillId="0" borderId="0" xfId="131" applyNumberFormat="1" applyFont="1" applyAlignment="1">
      <alignment/>
    </xf>
    <xf numFmtId="6" fontId="0" fillId="0" borderId="0" xfId="0" applyNumberFormat="1" applyBorder="1" applyAlignment="1">
      <alignment/>
    </xf>
    <xf numFmtId="0" fontId="20" fillId="24" borderId="0" xfId="0" applyFont="1" applyFill="1" applyAlignment="1">
      <alignment/>
    </xf>
    <xf numFmtId="6" fontId="1" fillId="0" borderId="0" xfId="0" applyNumberFormat="1" applyFont="1" applyBorder="1" applyAlignment="1">
      <alignment/>
    </xf>
    <xf numFmtId="6" fontId="1" fillId="0" borderId="9" xfId="69" applyNumberFormat="1" applyFont="1" applyFill="1" applyBorder="1" applyAlignment="1">
      <alignment/>
    </xf>
    <xf numFmtId="164" fontId="0" fillId="0" borderId="11" xfId="69" applyNumberFormat="1" applyFill="1" applyBorder="1" applyAlignment="1">
      <alignment/>
    </xf>
    <xf numFmtId="10" fontId="7" fillId="0" borderId="14" xfId="131" applyNumberFormat="1" applyFont="1" applyFill="1" applyBorder="1" applyAlignment="1">
      <alignment horizontal="right" vertical="center"/>
    </xf>
    <xf numFmtId="0" fontId="1" fillId="0" borderId="35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25" xfId="0" applyFont="1" applyFill="1" applyBorder="1" applyAlignment="1">
      <alignment horizontal="center"/>
    </xf>
    <xf numFmtId="164" fontId="6" fillId="0" borderId="9" xfId="71" applyNumberFormat="1" applyFont="1" applyFill="1" applyBorder="1" applyAlignment="1">
      <alignment/>
    </xf>
    <xf numFmtId="164" fontId="8" fillId="0" borderId="9" xfId="71" applyNumberFormat="1" applyFont="1" applyFill="1" applyBorder="1" applyAlignment="1">
      <alignment/>
    </xf>
    <xf numFmtId="164" fontId="0" fillId="0" borderId="31" xfId="71" applyNumberFormat="1" applyFont="1" applyFill="1" applyBorder="1" applyAlignment="1">
      <alignment/>
    </xf>
    <xf numFmtId="175" fontId="13" fillId="0" borderId="11" xfId="0" applyNumberFormat="1" applyFont="1" applyFill="1" applyBorder="1" applyAlignment="1">
      <alignment horizontal="right" vertical="center"/>
    </xf>
    <xf numFmtId="175" fontId="13" fillId="0" borderId="0" xfId="0" applyNumberFormat="1" applyFont="1" applyFill="1" applyBorder="1" applyAlignment="1">
      <alignment horizontal="right" vertical="center"/>
    </xf>
    <xf numFmtId="194" fontId="14" fillId="0" borderId="0" xfId="0" applyNumberFormat="1" applyFont="1" applyFill="1" applyBorder="1" applyAlignment="1">
      <alignment horizontal="right" vertical="center"/>
    </xf>
    <xf numFmtId="164" fontId="1" fillId="0" borderId="11" xfId="69" applyNumberFormat="1" applyFont="1" applyBorder="1" applyAlignment="1">
      <alignment/>
    </xf>
    <xf numFmtId="169" fontId="0" fillId="24" borderId="0" xfId="0" applyNumberFormat="1" applyFont="1" applyFill="1" applyBorder="1" applyAlignment="1">
      <alignment/>
    </xf>
    <xf numFmtId="194" fontId="13" fillId="0" borderId="9" xfId="0" applyNumberFormat="1" applyFont="1" applyFill="1" applyBorder="1" applyAlignment="1">
      <alignment horizontal="right" vertical="center"/>
    </xf>
    <xf numFmtId="194" fontId="13" fillId="0" borderId="0" xfId="0" applyNumberFormat="1" applyFont="1" applyFill="1" applyBorder="1" applyAlignment="1">
      <alignment horizontal="right" vertical="center"/>
    </xf>
    <xf numFmtId="194" fontId="13" fillId="0" borderId="11" xfId="0" applyNumberFormat="1" applyFont="1" applyFill="1" applyBorder="1" applyAlignment="1">
      <alignment horizontal="right" vertical="center"/>
    </xf>
    <xf numFmtId="170" fontId="6" fillId="24" borderId="31" xfId="131" applyNumberFormat="1" applyFont="1" applyFill="1" applyBorder="1" applyAlignment="1">
      <alignment/>
    </xf>
    <xf numFmtId="164" fontId="1" fillId="0" borderId="11" xfId="69" applyNumberFormat="1" applyFont="1" applyFill="1" applyBorder="1" applyAlignment="1">
      <alignment/>
    </xf>
    <xf numFmtId="6" fontId="1" fillId="0" borderId="0" xfId="69" applyNumberFormat="1" applyFont="1" applyFill="1" applyBorder="1" applyAlignment="1">
      <alignment/>
    </xf>
    <xf numFmtId="6" fontId="36" fillId="0" borderId="11" xfId="69" applyNumberFormat="1" applyFont="1" applyFill="1" applyBorder="1" applyAlignment="1">
      <alignment vertical="center"/>
    </xf>
    <xf numFmtId="164" fontId="0" fillId="0" borderId="11" xfId="69" applyNumberFormat="1" applyFont="1" applyFill="1" applyBorder="1" applyAlignment="1">
      <alignment/>
    </xf>
    <xf numFmtId="164" fontId="17" fillId="0" borderId="11" xfId="69" applyNumberFormat="1" applyFont="1" applyFill="1" applyBorder="1" applyAlignment="1">
      <alignment/>
    </xf>
    <xf numFmtId="6" fontId="1" fillId="0" borderId="0" xfId="69" applyNumberFormat="1" applyFont="1" applyFill="1" applyBorder="1" applyAlignment="1">
      <alignment horizontal="right"/>
    </xf>
    <xf numFmtId="6" fontId="36" fillId="0" borderId="0" xfId="69" applyNumberFormat="1" applyFont="1" applyFill="1" applyBorder="1" applyAlignment="1">
      <alignment vertical="center"/>
    </xf>
    <xf numFmtId="6" fontId="30" fillId="0" borderId="0" xfId="69" applyNumberFormat="1" applyFont="1" applyFill="1" applyBorder="1" applyAlignment="1">
      <alignment horizontal="right"/>
    </xf>
    <xf numFmtId="6" fontId="38" fillId="0" borderId="0" xfId="69" applyNumberFormat="1" applyFont="1" applyFill="1" applyBorder="1" applyAlignment="1">
      <alignment vertical="center"/>
    </xf>
    <xf numFmtId="43" fontId="1" fillId="0" borderId="0" xfId="69" applyNumberFormat="1" applyFont="1" applyFill="1" applyBorder="1" applyAlignment="1">
      <alignment/>
    </xf>
    <xf numFmtId="6" fontId="1" fillId="0" borderId="0" xfId="0" applyNumberFormat="1" applyFont="1" applyFill="1" applyBorder="1" applyAlignment="1">
      <alignment horizontal="right"/>
    </xf>
    <xf numFmtId="6" fontId="14" fillId="0" borderId="0" xfId="0" applyNumberFormat="1" applyFont="1" applyFill="1" applyBorder="1" applyAlignment="1">
      <alignment horizontal="right" vertical="center"/>
    </xf>
    <xf numFmtId="170" fontId="0" fillId="24" borderId="31" xfId="132" applyNumberFormat="1" applyFont="1" applyFill="1" applyBorder="1" applyAlignment="1">
      <alignment/>
    </xf>
    <xf numFmtId="165" fontId="0" fillId="0" borderId="9" xfId="0" applyNumberFormat="1" applyBorder="1" applyAlignment="1">
      <alignment horizontal="right"/>
    </xf>
    <xf numFmtId="0" fontId="1" fillId="0" borderId="9" xfId="0" applyFont="1" applyBorder="1" applyAlignment="1">
      <alignment/>
    </xf>
    <xf numFmtId="10" fontId="1" fillId="0" borderId="11" xfId="131" applyNumberFormat="1" applyFont="1" applyBorder="1" applyAlignment="1">
      <alignment horizontal="right"/>
    </xf>
    <xf numFmtId="6" fontId="1" fillId="0" borderId="9" xfId="69" applyNumberFormat="1" applyFont="1" applyBorder="1" applyAlignment="1">
      <alignment horizontal="right"/>
    </xf>
    <xf numFmtId="6" fontId="1" fillId="0" borderId="9" xfId="0" applyNumberFormat="1" applyFont="1" applyBorder="1" applyAlignment="1">
      <alignment horizontal="right"/>
    </xf>
    <xf numFmtId="164" fontId="36" fillId="0" borderId="9" xfId="69" applyNumberFormat="1" applyFont="1" applyFill="1" applyBorder="1" applyAlignment="1">
      <alignment horizontal="right" vertical="center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6" fontId="0" fillId="0" borderId="11" xfId="0" applyNumberFormat="1" applyBorder="1" applyAlignment="1">
      <alignment/>
    </xf>
    <xf numFmtId="6" fontId="0" fillId="0" borderId="9" xfId="0" applyNumberFormat="1" applyBorder="1" applyAlignment="1">
      <alignment/>
    </xf>
    <xf numFmtId="6" fontId="1" fillId="0" borderId="11" xfId="0" applyNumberFormat="1" applyFont="1" applyBorder="1" applyAlignment="1">
      <alignment/>
    </xf>
    <xf numFmtId="6" fontId="1" fillId="0" borderId="9" xfId="0" applyNumberFormat="1" applyFont="1" applyBorder="1" applyAlignment="1">
      <alignment/>
    </xf>
    <xf numFmtId="5" fontId="36" fillId="0" borderId="11" xfId="69" applyNumberFormat="1" applyFont="1" applyFill="1" applyBorder="1" applyAlignment="1">
      <alignment vertical="center"/>
    </xf>
    <xf numFmtId="197" fontId="7" fillId="25" borderId="0" xfId="0" applyNumberFormat="1" applyFont="1" applyFill="1" applyBorder="1" applyAlignment="1">
      <alignment horizontal="right" vertical="center"/>
    </xf>
    <xf numFmtId="197" fontId="10" fillId="25" borderId="0" xfId="0" applyNumberFormat="1" applyFont="1" applyFill="1" applyBorder="1" applyAlignment="1">
      <alignment horizontal="right" vertical="center"/>
    </xf>
    <xf numFmtId="5" fontId="16" fillId="24" borderId="0" xfId="0" applyNumberFormat="1" applyFont="1" applyFill="1" applyBorder="1" applyAlignment="1">
      <alignment/>
    </xf>
    <xf numFmtId="197" fontId="13" fillId="0" borderId="0" xfId="0" applyNumberFormat="1" applyFont="1" applyFill="1" applyBorder="1" applyAlignment="1">
      <alignment horizontal="right" vertical="center"/>
    </xf>
    <xf numFmtId="5" fontId="0" fillId="0" borderId="9" xfId="0" applyNumberFormat="1" applyBorder="1" applyAlignment="1">
      <alignment/>
    </xf>
    <xf numFmtId="5" fontId="1" fillId="0" borderId="9" xfId="0" applyNumberFormat="1" applyFont="1" applyBorder="1" applyAlignment="1">
      <alignment/>
    </xf>
    <xf numFmtId="0" fontId="1" fillId="26" borderId="0" xfId="0" applyNumberFormat="1" applyFont="1" applyFill="1" applyAlignment="1">
      <alignment/>
    </xf>
    <xf numFmtId="17" fontId="1" fillId="26" borderId="0" xfId="0" applyNumberFormat="1" applyFont="1" applyFill="1" applyAlignment="1">
      <alignment horizontal="right"/>
    </xf>
    <xf numFmtId="0" fontId="0" fillId="26" borderId="0" xfId="0" applyFill="1" applyAlignment="1">
      <alignment/>
    </xf>
    <xf numFmtId="0" fontId="3" fillId="26" borderId="0" xfId="0" applyFont="1" applyFill="1" applyAlignment="1">
      <alignment/>
    </xf>
    <xf numFmtId="5" fontId="0" fillId="26" borderId="0" xfId="0" applyNumberFormat="1" applyFont="1" applyFill="1" applyAlignment="1">
      <alignment/>
    </xf>
    <xf numFmtId="5" fontId="0" fillId="26" borderId="0" xfId="0" applyNumberFormat="1" applyFill="1" applyAlignment="1">
      <alignment/>
    </xf>
    <xf numFmtId="0" fontId="1" fillId="26" borderId="0" xfId="0" applyFont="1" applyFill="1" applyAlignment="1">
      <alignment/>
    </xf>
    <xf numFmtId="0" fontId="0" fillId="26" borderId="0" xfId="0" applyNumberFormat="1" applyFont="1" applyFill="1" applyAlignment="1">
      <alignment/>
    </xf>
    <xf numFmtId="164" fontId="0" fillId="26" borderId="0" xfId="71" applyNumberFormat="1" applyFont="1" applyFill="1" applyAlignment="1">
      <alignment/>
    </xf>
    <xf numFmtId="164" fontId="0" fillId="26" borderId="0" xfId="0" applyNumberFormat="1" applyFill="1" applyAlignment="1">
      <alignment/>
    </xf>
    <xf numFmtId="164" fontId="17" fillId="26" borderId="0" xfId="71" applyNumberFormat="1" applyFont="1" applyFill="1" applyAlignment="1">
      <alignment/>
    </xf>
    <xf numFmtId="164" fontId="17" fillId="26" borderId="0" xfId="0" applyNumberFormat="1" applyFont="1" applyFill="1" applyAlignment="1">
      <alignment/>
    </xf>
    <xf numFmtId="0" fontId="0" fillId="26" borderId="0" xfId="0" applyFill="1" applyBorder="1" applyAlignment="1">
      <alignment/>
    </xf>
    <xf numFmtId="164" fontId="1" fillId="26" borderId="0" xfId="69" applyNumberFormat="1" applyFont="1" applyFill="1" applyAlignment="1">
      <alignment/>
    </xf>
    <xf numFmtId="164" fontId="1" fillId="26" borderId="0" xfId="0" applyNumberFormat="1" applyFont="1" applyFill="1" applyAlignment="1">
      <alignment/>
    </xf>
    <xf numFmtId="164" fontId="0" fillId="26" borderId="0" xfId="71" applyNumberFormat="1" applyFont="1" applyFill="1" applyAlignment="1">
      <alignment/>
    </xf>
    <xf numFmtId="164" fontId="0" fillId="26" borderId="0" xfId="69" applyNumberFormat="1" applyFont="1" applyFill="1" applyAlignment="1">
      <alignment/>
    </xf>
    <xf numFmtId="0" fontId="1" fillId="26" borderId="0" xfId="0" applyFont="1" applyFill="1" applyAlignment="1" applyProtection="1">
      <alignment/>
      <protection locked="0"/>
    </xf>
    <xf numFmtId="164" fontId="0" fillId="26" borderId="0" xfId="71" applyNumberFormat="1" applyFill="1" applyAlignment="1">
      <alignment/>
    </xf>
    <xf numFmtId="37" fontId="25" fillId="26" borderId="0" xfId="126" applyNumberFormat="1" applyFont="1" applyFill="1" applyBorder="1">
      <alignment horizontal="right"/>
      <protection/>
    </xf>
    <xf numFmtId="43" fontId="0" fillId="26" borderId="0" xfId="0" applyNumberFormat="1" applyFill="1" applyAlignment="1">
      <alignment/>
    </xf>
    <xf numFmtId="166" fontId="0" fillId="26" borderId="0" xfId="69" applyNumberFormat="1" applyFont="1" applyFill="1" applyAlignment="1">
      <alignment/>
    </xf>
    <xf numFmtId="0" fontId="0" fillId="26" borderId="0" xfId="0" applyNumberFormat="1" applyFont="1" applyFill="1" applyAlignment="1">
      <alignment/>
    </xf>
    <xf numFmtId="164" fontId="0" fillId="26" borderId="0" xfId="69" applyNumberFormat="1" applyFont="1" applyFill="1" applyAlignment="1" applyProtection="1">
      <alignment/>
      <protection locked="0"/>
    </xf>
    <xf numFmtId="0" fontId="0" fillId="26" borderId="0" xfId="0" applyNumberFormat="1" applyFont="1" applyFill="1" applyAlignment="1" applyProtection="1">
      <alignment/>
      <protection locked="0"/>
    </xf>
    <xf numFmtId="164" fontId="0" fillId="26" borderId="0" xfId="69" applyNumberFormat="1" applyFill="1" applyAlignment="1">
      <alignment/>
    </xf>
    <xf numFmtId="6" fontId="0" fillId="26" borderId="0" xfId="0" applyNumberFormat="1" applyFill="1" applyAlignment="1">
      <alignment/>
    </xf>
    <xf numFmtId="164" fontId="17" fillId="26" borderId="0" xfId="69" applyNumberFormat="1" applyFont="1" applyFill="1" applyAlignment="1">
      <alignment/>
    </xf>
    <xf numFmtId="6" fontId="23" fillId="26" borderId="0" xfId="0" applyNumberFormat="1" applyFont="1" applyFill="1" applyAlignment="1">
      <alignment/>
    </xf>
    <xf numFmtId="0" fontId="2" fillId="26" borderId="0" xfId="0" applyFont="1" applyFill="1" applyBorder="1" applyAlignment="1">
      <alignment horizontal="left" vertical="top" indent="2"/>
    </xf>
    <xf numFmtId="0" fontId="0" fillId="26" borderId="0" xfId="0" applyFill="1" applyAlignment="1" applyProtection="1">
      <alignment/>
      <protection locked="0"/>
    </xf>
    <xf numFmtId="0" fontId="1" fillId="26" borderId="0" xfId="0" applyFont="1" applyFill="1" applyBorder="1" applyAlignment="1">
      <alignment horizontal="left" vertical="top" indent="2"/>
    </xf>
    <xf numFmtId="6" fontId="1" fillId="26" borderId="0" xfId="0" applyNumberFormat="1" applyFont="1" applyFill="1" applyAlignment="1">
      <alignment/>
    </xf>
    <xf numFmtId="0" fontId="0" fillId="26" borderId="0" xfId="0" applyFont="1" applyFill="1" applyBorder="1" applyAlignment="1">
      <alignment horizontal="left" vertical="top" indent="2"/>
    </xf>
    <xf numFmtId="0" fontId="3" fillId="26" borderId="0" xfId="0" applyFont="1" applyFill="1" applyAlignment="1" applyProtection="1">
      <alignment/>
      <protection locked="0"/>
    </xf>
    <xf numFmtId="165" fontId="1" fillId="26" borderId="0" xfId="69" applyNumberFormat="1" applyFont="1" applyFill="1" applyAlignment="1" applyProtection="1">
      <alignment/>
      <protection locked="0"/>
    </xf>
    <xf numFmtId="6" fontId="0" fillId="26" borderId="0" xfId="0" applyNumberFormat="1" applyFill="1" applyAlignment="1" applyProtection="1">
      <alignment/>
      <protection/>
    </xf>
    <xf numFmtId="165" fontId="1" fillId="26" borderId="0" xfId="69" applyNumberFormat="1" applyFont="1" applyFill="1" applyAlignment="1" applyProtection="1">
      <alignment/>
      <protection locked="0"/>
    </xf>
    <xf numFmtId="6" fontId="23" fillId="26" borderId="0" xfId="0" applyNumberFormat="1" applyFont="1" applyFill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5" fontId="0" fillId="26" borderId="0" xfId="0" applyNumberFormat="1" applyFill="1" applyBorder="1" applyAlignment="1">
      <alignment/>
    </xf>
    <xf numFmtId="10" fontId="1" fillId="26" borderId="0" xfId="131" applyNumberFormat="1" applyFont="1" applyFill="1" applyAlignment="1">
      <alignment/>
    </xf>
    <xf numFmtId="5" fontId="0" fillId="26" borderId="0" xfId="0" applyNumberFormat="1" applyFill="1" applyAlignment="1" applyProtection="1">
      <alignment/>
      <protection locked="0"/>
    </xf>
    <xf numFmtId="6" fontId="1" fillId="26" borderId="0" xfId="0" applyNumberFormat="1" applyFont="1" applyFill="1" applyAlignment="1" applyProtection="1">
      <alignment/>
      <protection/>
    </xf>
    <xf numFmtId="6" fontId="1" fillId="26" borderId="0" xfId="0" applyNumberFormat="1" applyFont="1" applyFill="1" applyAlignment="1" applyProtection="1">
      <alignment/>
      <protection locked="0"/>
    </xf>
    <xf numFmtId="6" fontId="30" fillId="26" borderId="0" xfId="0" applyNumberFormat="1" applyFont="1" applyFill="1" applyAlignment="1">
      <alignment/>
    </xf>
    <xf numFmtId="164" fontId="23" fillId="26" borderId="0" xfId="0" applyNumberFormat="1" applyFont="1" applyFill="1" applyAlignment="1">
      <alignment/>
    </xf>
    <xf numFmtId="10" fontId="0" fillId="26" borderId="0" xfId="0" applyNumberFormat="1" applyFill="1" applyAlignment="1">
      <alignment/>
    </xf>
    <xf numFmtId="0" fontId="1" fillId="26" borderId="0" xfId="0" applyNumberFormat="1" applyFont="1" applyFill="1" applyAlignment="1" applyProtection="1">
      <alignment/>
      <protection locked="0"/>
    </xf>
    <xf numFmtId="0" fontId="1" fillId="26" borderId="0" xfId="0" applyNumberFormat="1" applyFont="1" applyFill="1" applyAlignment="1" applyProtection="1">
      <alignment wrapText="1"/>
      <protection locked="0"/>
    </xf>
    <xf numFmtId="17" fontId="1" fillId="26" borderId="0" xfId="0" applyNumberFormat="1" applyFont="1" applyFill="1" applyAlignment="1" applyProtection="1">
      <alignment horizontal="right"/>
      <protection locked="0"/>
    </xf>
    <xf numFmtId="0" fontId="0" fillId="26" borderId="0" xfId="0" applyNumberFormat="1" applyFont="1" applyFill="1" applyAlignment="1" applyProtection="1">
      <alignment horizontal="left" wrapText="1"/>
      <protection locked="0"/>
    </xf>
    <xf numFmtId="5" fontId="0" fillId="26" borderId="0" xfId="0" applyNumberFormat="1" applyFont="1" applyFill="1" applyAlignment="1" applyProtection="1">
      <alignment horizontal="right"/>
      <protection locked="0"/>
    </xf>
    <xf numFmtId="5" fontId="1" fillId="26" borderId="0" xfId="0" applyNumberFormat="1" applyFont="1" applyFill="1" applyAlignment="1" applyProtection="1">
      <alignment horizontal="right"/>
      <protection locked="0"/>
    </xf>
    <xf numFmtId="5" fontId="1" fillId="26" borderId="0" xfId="0" applyNumberFormat="1" applyFont="1" applyFill="1" applyAlignment="1" applyProtection="1">
      <alignment/>
      <protection locked="0"/>
    </xf>
    <xf numFmtId="0" fontId="0" fillId="26" borderId="0" xfId="0" applyFont="1" applyFill="1" applyBorder="1" applyAlignment="1">
      <alignment/>
    </xf>
    <xf numFmtId="7" fontId="0" fillId="26" borderId="0" xfId="0" applyNumberFormat="1" applyFont="1" applyFill="1" applyAlignment="1" applyProtection="1">
      <alignment horizontal="right"/>
      <protection locked="0"/>
    </xf>
    <xf numFmtId="184" fontId="2" fillId="26" borderId="0" xfId="82" applyNumberFormat="1" applyFont="1" applyFill="1" applyBorder="1" applyAlignment="1">
      <alignment horizontal="right" vertical="top" wrapText="1"/>
    </xf>
    <xf numFmtId="7" fontId="0" fillId="26" borderId="0" xfId="0" applyNumberFormat="1" applyFont="1" applyFill="1" applyAlignment="1" applyProtection="1">
      <alignment horizontal="right"/>
      <protection locked="0"/>
    </xf>
    <xf numFmtId="5" fontId="0" fillId="26" borderId="0" xfId="0" applyNumberFormat="1" applyFont="1" applyFill="1" applyAlignment="1" applyProtection="1">
      <alignment horizontal="right"/>
      <protection locked="0"/>
    </xf>
    <xf numFmtId="5" fontId="0" fillId="26" borderId="0" xfId="0" applyNumberFormat="1" applyFont="1" applyFill="1" applyAlignment="1" applyProtection="1">
      <alignment/>
      <protection locked="0"/>
    </xf>
    <xf numFmtId="166" fontId="0" fillId="26" borderId="0" xfId="69" applyNumberFormat="1" applyFont="1" applyFill="1" applyAlignment="1" applyProtection="1">
      <alignment/>
      <protection locked="0"/>
    </xf>
    <xf numFmtId="0" fontId="0" fillId="26" borderId="0" xfId="0" applyNumberFormat="1" applyFont="1" applyFill="1" applyAlignment="1" applyProtection="1">
      <alignment/>
      <protection locked="0"/>
    </xf>
    <xf numFmtId="164" fontId="0" fillId="26" borderId="0" xfId="71" applyNumberFormat="1" applyFont="1" applyFill="1" applyAlignment="1" applyProtection="1">
      <alignment/>
      <protection locked="0"/>
    </xf>
    <xf numFmtId="3" fontId="6" fillId="26" borderId="0" xfId="0" applyNumberFormat="1" applyFont="1" applyFill="1" applyBorder="1" applyAlignment="1">
      <alignment/>
    </xf>
    <xf numFmtId="43" fontId="0" fillId="26" borderId="0" xfId="69" applyFont="1" applyFill="1" applyAlignment="1" applyProtection="1">
      <alignment/>
      <protection locked="0"/>
    </xf>
    <xf numFmtId="164" fontId="0" fillId="26" borderId="0" xfId="0" applyNumberFormat="1" applyFill="1" applyAlignment="1" applyProtection="1">
      <alignment/>
      <protection locked="0"/>
    </xf>
    <xf numFmtId="164" fontId="17" fillId="26" borderId="0" xfId="71" applyNumberFormat="1" applyFont="1" applyFill="1" applyAlignment="1" applyProtection="1">
      <alignment/>
      <protection locked="0"/>
    </xf>
    <xf numFmtId="3" fontId="27" fillId="26" borderId="0" xfId="0" applyNumberFormat="1" applyFont="1" applyFill="1" applyAlignment="1">
      <alignment/>
    </xf>
    <xf numFmtId="43" fontId="17" fillId="26" borderId="0" xfId="69" applyFont="1" applyFill="1" applyAlignment="1" applyProtection="1">
      <alignment/>
      <protection locked="0"/>
    </xf>
    <xf numFmtId="3" fontId="6" fillId="26" borderId="0" xfId="0" applyNumberFormat="1" applyFont="1" applyFill="1" applyAlignment="1">
      <alignment/>
    </xf>
    <xf numFmtId="164" fontId="0" fillId="26" borderId="0" xfId="71" applyNumberFormat="1" applyFont="1" applyFill="1" applyAlignment="1" applyProtection="1">
      <alignment/>
      <protection locked="0"/>
    </xf>
    <xf numFmtId="43" fontId="0" fillId="26" borderId="0" xfId="69" applyFont="1" applyFill="1" applyAlignment="1" applyProtection="1">
      <alignment/>
      <protection locked="0"/>
    </xf>
    <xf numFmtId="164" fontId="0" fillId="26" borderId="0" xfId="0" applyNumberFormat="1" applyFont="1" applyFill="1" applyAlignment="1" applyProtection="1">
      <alignment/>
      <protection locked="0"/>
    </xf>
    <xf numFmtId="164" fontId="1" fillId="26" borderId="0" xfId="0" applyNumberFormat="1" applyFont="1" applyFill="1" applyAlignment="1" applyProtection="1">
      <alignment/>
      <protection locked="0"/>
    </xf>
    <xf numFmtId="0" fontId="0" fillId="26" borderId="0" xfId="0" applyFont="1" applyFill="1" applyAlignment="1" applyProtection="1">
      <alignment/>
      <protection locked="0"/>
    </xf>
    <xf numFmtId="164" fontId="0" fillId="26" borderId="0" xfId="71" applyNumberFormat="1" applyFont="1" applyFill="1" applyBorder="1" applyAlignment="1" applyProtection="1">
      <alignment/>
      <protection locked="0"/>
    </xf>
    <xf numFmtId="164" fontId="0" fillId="26" borderId="0" xfId="71" applyNumberFormat="1" applyFont="1" applyFill="1" applyBorder="1" applyAlignment="1" applyProtection="1">
      <alignment/>
      <protection locked="0"/>
    </xf>
    <xf numFmtId="43" fontId="0" fillId="26" borderId="0" xfId="0" applyNumberFormat="1" applyFill="1" applyAlignment="1" applyProtection="1">
      <alignment/>
      <protection locked="0"/>
    </xf>
    <xf numFmtId="164" fontId="1" fillId="26" borderId="0" xfId="69" applyNumberFormat="1" applyFont="1" applyFill="1" applyAlignment="1" applyProtection="1">
      <alignment/>
      <protection locked="0"/>
    </xf>
    <xf numFmtId="0" fontId="1" fillId="26" borderId="0" xfId="0" applyFont="1" applyFill="1" applyAlignment="1" applyProtection="1" quotePrefix="1">
      <alignment/>
      <protection locked="0"/>
    </xf>
    <xf numFmtId="181" fontId="0" fillId="26" borderId="0" xfId="81" applyNumberFormat="1" applyFont="1" applyFill="1" applyBorder="1" applyAlignment="1">
      <alignment horizontal="left"/>
    </xf>
    <xf numFmtId="43" fontId="0" fillId="26" borderId="0" xfId="71" applyFont="1" applyFill="1" applyAlignment="1" applyProtection="1">
      <alignment/>
      <protection locked="0"/>
    </xf>
    <xf numFmtId="164" fontId="0" fillId="26" borderId="0" xfId="69" applyNumberFormat="1" applyFill="1" applyAlignment="1" applyProtection="1">
      <alignment/>
      <protection locked="0"/>
    </xf>
    <xf numFmtId="164" fontId="0" fillId="26" borderId="0" xfId="69" applyNumberFormat="1" applyFont="1" applyFill="1" applyAlignment="1" applyProtection="1">
      <alignment/>
      <protection locked="0"/>
    </xf>
    <xf numFmtId="6" fontId="0" fillId="26" borderId="0" xfId="71" applyNumberFormat="1" applyFont="1" applyFill="1" applyAlignment="1" applyProtection="1">
      <alignment/>
      <protection locked="0"/>
    </xf>
    <xf numFmtId="5" fontId="0" fillId="26" borderId="0" xfId="71" applyNumberFormat="1" applyFont="1" applyFill="1" applyAlignment="1" applyProtection="1">
      <alignment/>
      <protection locked="0"/>
    </xf>
    <xf numFmtId="6" fontId="0" fillId="26" borderId="0" xfId="0" applyNumberFormat="1" applyFill="1" applyAlignment="1" applyProtection="1">
      <alignment/>
      <protection locked="0"/>
    </xf>
    <xf numFmtId="183" fontId="2" fillId="26" borderId="0" xfId="0" applyNumberFormat="1" applyFont="1" applyFill="1" applyBorder="1" applyAlignment="1">
      <alignment horizontal="right" vertical="top"/>
    </xf>
    <xf numFmtId="43" fontId="0" fillId="26" borderId="20" xfId="0" applyNumberFormat="1" applyFill="1" applyBorder="1" applyAlignment="1" applyProtection="1">
      <alignment/>
      <protection locked="0"/>
    </xf>
    <xf numFmtId="43" fontId="6" fillId="26" borderId="0" xfId="71" applyNumberFormat="1" applyFont="1" applyFill="1" applyBorder="1" applyAlignment="1" applyProtection="1">
      <alignment horizontal="right" vertical="center"/>
      <protection locked="0"/>
    </xf>
    <xf numFmtId="168" fontId="0" fillId="26" borderId="0" xfId="0" applyNumberFormat="1" applyFill="1" applyAlignment="1" applyProtection="1">
      <alignment/>
      <protection locked="0"/>
    </xf>
    <xf numFmtId="165" fontId="1" fillId="26" borderId="0" xfId="71" applyNumberFormat="1" applyFont="1" applyFill="1" applyAlignment="1" applyProtection="1">
      <alignment/>
      <protection locked="0"/>
    </xf>
    <xf numFmtId="165" fontId="1" fillId="26" borderId="0" xfId="71" applyNumberFormat="1" applyFont="1" applyFill="1" applyAlignment="1" applyProtection="1">
      <alignment/>
      <protection locked="0"/>
    </xf>
    <xf numFmtId="5" fontId="0" fillId="26" borderId="0" xfId="0" applyNumberFormat="1" applyFill="1" applyAlignment="1" applyProtection="1">
      <alignment/>
      <protection/>
    </xf>
    <xf numFmtId="5" fontId="23" fillId="26" borderId="0" xfId="0" applyNumberFormat="1" applyFont="1" applyFill="1" applyAlignment="1" applyProtection="1">
      <alignment/>
      <protection/>
    </xf>
    <xf numFmtId="165" fontId="0" fillId="26" borderId="0" xfId="0" applyNumberFormat="1" applyFill="1" applyAlignment="1" applyProtection="1">
      <alignment/>
      <protection/>
    </xf>
    <xf numFmtId="0" fontId="1" fillId="26" borderId="0" xfId="0" applyNumberFormat="1" applyFont="1" applyFill="1" applyAlignment="1">
      <alignment horizontal="center"/>
    </xf>
    <xf numFmtId="17" fontId="1" fillId="26" borderId="0" xfId="0" applyNumberFormat="1" applyFont="1" applyFill="1" applyAlignment="1">
      <alignment horizontal="center"/>
    </xf>
    <xf numFmtId="3" fontId="25" fillId="26" borderId="0" xfId="0" applyNumberFormat="1" applyFont="1" applyFill="1" applyAlignment="1">
      <alignment horizontal="right"/>
    </xf>
    <xf numFmtId="3" fontId="0" fillId="26" borderId="0" xfId="0" applyNumberFormat="1" applyFont="1" applyFill="1" applyAlignment="1">
      <alignment/>
    </xf>
    <xf numFmtId="3" fontId="26" fillId="26" borderId="0" xfId="0" applyNumberFormat="1" applyFont="1" applyFill="1" applyAlignment="1">
      <alignment horizontal="right"/>
    </xf>
    <xf numFmtId="3" fontId="23" fillId="26" borderId="0" xfId="0" applyNumberFormat="1" applyFont="1" applyFill="1" applyAlignment="1">
      <alignment/>
    </xf>
    <xf numFmtId="3" fontId="0" fillId="26" borderId="0" xfId="0" applyNumberFormat="1" applyFill="1" applyAlignment="1">
      <alignment/>
    </xf>
    <xf numFmtId="3" fontId="0" fillId="26" borderId="0" xfId="0" applyNumberFormat="1" applyFont="1" applyFill="1" applyAlignment="1">
      <alignment/>
    </xf>
    <xf numFmtId="0" fontId="1" fillId="26" borderId="0" xfId="0" applyFont="1" applyFill="1" applyBorder="1" applyAlignment="1">
      <alignment/>
    </xf>
    <xf numFmtId="0" fontId="1" fillId="26" borderId="0" xfId="0" applyFont="1" applyFill="1" applyAlignment="1">
      <alignment wrapText="1"/>
    </xf>
    <xf numFmtId="170" fontId="25" fillId="26" borderId="0" xfId="132" applyNumberFormat="1" applyFont="1" applyFill="1" applyAlignment="1">
      <alignment horizontal="right"/>
    </xf>
    <xf numFmtId="170" fontId="0" fillId="26" borderId="0" xfId="132" applyNumberFormat="1" applyFont="1" applyFill="1" applyAlignment="1">
      <alignment/>
    </xf>
    <xf numFmtId="10" fontId="0" fillId="26" borderId="0" xfId="131" applyNumberFormat="1" applyFont="1" applyFill="1" applyAlignment="1">
      <alignment/>
    </xf>
    <xf numFmtId="38" fontId="0" fillId="26" borderId="0" xfId="0" applyNumberFormat="1" applyFill="1" applyAlignment="1">
      <alignment/>
    </xf>
    <xf numFmtId="170" fontId="26" fillId="26" borderId="0" xfId="132" applyNumberFormat="1" applyFont="1" applyFill="1" applyAlignment="1">
      <alignment horizontal="right"/>
    </xf>
    <xf numFmtId="170" fontId="23" fillId="26" borderId="0" xfId="132" applyNumberFormat="1" applyFont="1" applyFill="1" applyAlignment="1">
      <alignment/>
    </xf>
    <xf numFmtId="170" fontId="1" fillId="26" borderId="0" xfId="132" applyNumberFormat="1" applyFont="1" applyFill="1" applyAlignment="1">
      <alignment/>
    </xf>
    <xf numFmtId="10" fontId="0" fillId="26" borderId="0" xfId="131" applyNumberFormat="1" applyFont="1" applyFill="1" applyAlignment="1">
      <alignment/>
    </xf>
    <xf numFmtId="178" fontId="36" fillId="26" borderId="0" xfId="0" applyNumberFormat="1" applyFont="1" applyFill="1" applyAlignment="1">
      <alignment horizontal="right"/>
    </xf>
    <xf numFmtId="178" fontId="25" fillId="26" borderId="0" xfId="0" applyNumberFormat="1" applyFont="1" applyFill="1" applyAlignment="1">
      <alignment horizontal="right"/>
    </xf>
    <xf numFmtId="182" fontId="0" fillId="26" borderId="0" xfId="131" applyNumberFormat="1" applyFont="1" applyFill="1" applyAlignment="1">
      <alignment/>
    </xf>
    <xf numFmtId="10" fontId="23" fillId="26" borderId="0" xfId="131" applyNumberFormat="1" applyFont="1" applyFill="1" applyAlignment="1">
      <alignment/>
    </xf>
    <xf numFmtId="0" fontId="1" fillId="26" borderId="0" xfId="114" applyFont="1" applyFill="1">
      <alignment/>
      <protection/>
    </xf>
    <xf numFmtId="0" fontId="0" fillId="26" borderId="0" xfId="114" applyFill="1" applyProtection="1">
      <alignment/>
      <protection locked="0"/>
    </xf>
    <xf numFmtId="0" fontId="24" fillId="26" borderId="0" xfId="0" applyNumberFormat="1" applyFont="1" applyFill="1" applyAlignment="1">
      <alignment/>
    </xf>
    <xf numFmtId="0" fontId="0" fillId="26" borderId="0" xfId="0" applyFont="1" applyFill="1" applyAlignment="1">
      <alignment/>
    </xf>
    <xf numFmtId="0" fontId="0" fillId="26" borderId="0" xfId="0" applyNumberFormat="1" applyFont="1" applyFill="1" applyAlignment="1">
      <alignment horizontal="left" wrapText="1"/>
    </xf>
    <xf numFmtId="5" fontId="0" fillId="26" borderId="0" xfId="0" applyNumberFormat="1" applyFont="1" applyFill="1" applyAlignment="1">
      <alignment horizontal="right"/>
    </xf>
    <xf numFmtId="171" fontId="1" fillId="26" borderId="0" xfId="0" applyNumberFormat="1" applyFont="1" applyFill="1" applyAlignment="1">
      <alignment/>
    </xf>
    <xf numFmtId="164" fontId="0" fillId="26" borderId="0" xfId="69" applyNumberFormat="1" applyFont="1" applyFill="1" applyAlignment="1">
      <alignment/>
    </xf>
    <xf numFmtId="164" fontId="1" fillId="26" borderId="0" xfId="69" applyNumberFormat="1" applyFont="1" applyFill="1" applyAlignment="1">
      <alignment/>
    </xf>
    <xf numFmtId="0" fontId="0" fillId="26" borderId="0" xfId="0" applyNumberFormat="1" applyFont="1" applyFill="1" applyAlignment="1">
      <alignment horizontal="center" wrapText="1"/>
    </xf>
    <xf numFmtId="37" fontId="0" fillId="26" borderId="0" xfId="0" applyNumberFormat="1" applyFont="1" applyFill="1" applyAlignment="1">
      <alignment/>
    </xf>
    <xf numFmtId="0" fontId="1" fillId="26" borderId="0" xfId="0" applyNumberFormat="1" applyFont="1" applyFill="1" applyAlignment="1">
      <alignment horizontal="left" wrapText="1"/>
    </xf>
    <xf numFmtId="0" fontId="1" fillId="26" borderId="0" xfId="114" applyNumberFormat="1" applyFont="1" applyFill="1" applyAlignment="1">
      <alignment horizontal="left" wrapText="1"/>
      <protection/>
    </xf>
    <xf numFmtId="0" fontId="0" fillId="26" borderId="0" xfId="114" applyNumberFormat="1" applyFont="1" applyFill="1" applyAlignment="1">
      <alignment horizontal="left" wrapText="1"/>
      <protection/>
    </xf>
    <xf numFmtId="0" fontId="1" fillId="26" borderId="0" xfId="114" applyNumberFormat="1" applyFont="1" applyFill="1" applyAlignment="1">
      <alignment horizontal="left"/>
      <protection/>
    </xf>
    <xf numFmtId="0" fontId="0" fillId="26" borderId="0" xfId="114" applyNumberFormat="1" applyFont="1" applyFill="1" applyAlignment="1">
      <alignment horizontal="left"/>
      <protection/>
    </xf>
    <xf numFmtId="0" fontId="30" fillId="26" borderId="0" xfId="0" applyNumberFormat="1" applyFont="1" applyFill="1" applyAlignment="1">
      <alignment horizontal="left" wrapText="1"/>
    </xf>
    <xf numFmtId="0" fontId="0" fillId="26" borderId="0" xfId="114" applyFill="1" applyAlignment="1" applyProtection="1">
      <alignment horizontal="left"/>
      <protection locked="0"/>
    </xf>
    <xf numFmtId="5" fontId="1" fillId="26" borderId="0" xfId="0" applyNumberFormat="1" applyFont="1" applyFill="1" applyAlignment="1">
      <alignment/>
    </xf>
    <xf numFmtId="0" fontId="3" fillId="26" borderId="0" xfId="114" applyFont="1" applyFill="1">
      <alignment/>
      <protection/>
    </xf>
    <xf numFmtId="0" fontId="0" fillId="26" borderId="0" xfId="114" applyNumberFormat="1" applyFont="1" applyFill="1" applyAlignment="1">
      <alignment/>
      <protection/>
    </xf>
    <xf numFmtId="0" fontId="1" fillId="26" borderId="0" xfId="114" applyNumberFormat="1" applyFont="1" applyFill="1" applyAlignment="1">
      <alignment/>
      <protection/>
    </xf>
    <xf numFmtId="0" fontId="3" fillId="26" borderId="0" xfId="0" applyNumberFormat="1" applyFont="1" applyFill="1" applyAlignment="1">
      <alignment horizontal="left" wrapText="1"/>
    </xf>
    <xf numFmtId="165" fontId="1" fillId="26" borderId="0" xfId="69" applyNumberFormat="1" applyFont="1" applyFill="1" applyAlignment="1">
      <alignment/>
    </xf>
    <xf numFmtId="0" fontId="1" fillId="26" borderId="0" xfId="0" applyNumberFormat="1" applyFont="1" applyFill="1" applyAlignment="1">
      <alignment horizontal="center" wrapText="1"/>
    </xf>
    <xf numFmtId="172" fontId="0" fillId="26" borderId="0" xfId="0" applyNumberFormat="1" applyFont="1" applyFill="1" applyAlignment="1">
      <alignment/>
    </xf>
    <xf numFmtId="0" fontId="0" fillId="26" borderId="0" xfId="0" applyNumberFormat="1" applyFont="1" applyFill="1" applyAlignment="1">
      <alignment horizontal="left" wrapText="1"/>
    </xf>
    <xf numFmtId="165" fontId="0" fillId="26" borderId="0" xfId="69" applyNumberFormat="1" applyFont="1" applyFill="1" applyAlignment="1">
      <alignment/>
    </xf>
    <xf numFmtId="0" fontId="1" fillId="26" borderId="0" xfId="0" applyNumberFormat="1" applyFont="1" applyFill="1" applyAlignment="1">
      <alignment horizontal="left"/>
    </xf>
    <xf numFmtId="0" fontId="1" fillId="26" borderId="0" xfId="0" applyNumberFormat="1" applyFont="1" applyFill="1" applyAlignment="1">
      <alignment wrapText="1"/>
    </xf>
    <xf numFmtId="174" fontId="0" fillId="26" borderId="0" xfId="0" applyNumberFormat="1" applyFont="1" applyFill="1" applyAlignment="1">
      <alignment/>
    </xf>
    <xf numFmtId="0" fontId="0" fillId="26" borderId="0" xfId="0" applyNumberFormat="1" applyFont="1" applyFill="1" applyAlignment="1">
      <alignment horizontal="left"/>
    </xf>
    <xf numFmtId="5" fontId="0" fillId="26" borderId="0" xfId="0" applyNumberFormat="1" applyFont="1" applyFill="1" applyAlignment="1">
      <alignment/>
    </xf>
    <xf numFmtId="171" fontId="0" fillId="26" borderId="0" xfId="0" applyNumberFormat="1" applyFont="1" applyFill="1" applyAlignment="1">
      <alignment/>
    </xf>
    <xf numFmtId="5" fontId="1" fillId="26" borderId="0" xfId="0" applyNumberFormat="1" applyFont="1" applyFill="1" applyAlignment="1">
      <alignment/>
    </xf>
    <xf numFmtId="5" fontId="23" fillId="26" borderId="0" xfId="0" applyNumberFormat="1" applyFont="1" applyFill="1" applyAlignment="1">
      <alignment/>
    </xf>
    <xf numFmtId="5" fontId="23" fillId="26" borderId="0" xfId="0" applyNumberFormat="1" applyFont="1" applyFill="1" applyAlignment="1">
      <alignment/>
    </xf>
    <xf numFmtId="0" fontId="19" fillId="0" borderId="35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18" fillId="0" borderId="36" xfId="0" applyFont="1" applyBorder="1" applyAlignment="1">
      <alignment horizontal="center" wrapText="1"/>
    </xf>
    <xf numFmtId="0" fontId="19" fillId="24" borderId="0" xfId="0" applyFont="1" applyFill="1" applyAlignment="1">
      <alignment horizontal="center" wrapText="1"/>
    </xf>
    <xf numFmtId="0" fontId="66" fillId="0" borderId="0" xfId="0" applyFont="1" applyAlignment="1">
      <alignment wrapText="1"/>
    </xf>
    <xf numFmtId="0" fontId="67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30" fillId="0" borderId="12" xfId="0" applyFont="1" applyBorder="1" applyAlignment="1">
      <alignment horizontal="center"/>
    </xf>
    <xf numFmtId="0" fontId="64" fillId="0" borderId="0" xfId="0" applyFont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19" fillId="0" borderId="36" xfId="0" applyFont="1" applyBorder="1" applyAlignment="1">
      <alignment horizontal="center" wrapText="1"/>
    </xf>
    <xf numFmtId="0" fontId="21" fillId="24" borderId="35" xfId="0" applyFont="1" applyFill="1" applyBorder="1" applyAlignment="1">
      <alignment horizontal="center" wrapText="1"/>
    </xf>
    <xf numFmtId="0" fontId="28" fillId="24" borderId="25" xfId="0" applyFont="1" applyFill="1" applyBorder="1" applyAlignment="1">
      <alignment horizontal="center" wrapText="1"/>
    </xf>
    <xf numFmtId="0" fontId="28" fillId="24" borderId="36" xfId="0" applyFont="1" applyFill="1" applyBorder="1" applyAlignment="1">
      <alignment horizontal="center" wrapText="1"/>
    </xf>
    <xf numFmtId="0" fontId="21" fillId="24" borderId="22" xfId="0" applyFont="1" applyFill="1" applyBorder="1" applyAlignment="1">
      <alignment horizontal="center" wrapText="1"/>
    </xf>
    <xf numFmtId="0" fontId="21" fillId="24" borderId="23" xfId="0" applyFont="1" applyFill="1" applyBorder="1" applyAlignment="1">
      <alignment horizontal="center" wrapText="1"/>
    </xf>
    <xf numFmtId="0" fontId="21" fillId="24" borderId="24" xfId="0" applyFont="1" applyFill="1" applyBorder="1" applyAlignment="1">
      <alignment horizontal="center" wrapText="1"/>
    </xf>
    <xf numFmtId="0" fontId="3" fillId="24" borderId="36" xfId="0" applyFont="1" applyFill="1" applyBorder="1" applyAlignment="1">
      <alignment horizontal="center" wrapText="1"/>
    </xf>
    <xf numFmtId="0" fontId="20" fillId="24" borderId="21" xfId="0" applyFont="1" applyFill="1" applyBorder="1" applyAlignment="1">
      <alignment horizontal="center" wrapText="1"/>
    </xf>
    <xf numFmtId="0" fontId="3" fillId="24" borderId="35" xfId="0" applyFont="1" applyFill="1" applyBorder="1" applyAlignment="1">
      <alignment horizontal="center" wrapText="1"/>
    </xf>
    <xf numFmtId="0" fontId="3" fillId="24" borderId="37" xfId="0" applyFont="1" applyFill="1" applyBorder="1" applyAlignment="1">
      <alignment horizontal="center" wrapText="1"/>
    </xf>
    <xf numFmtId="0" fontId="3" fillId="24" borderId="38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center" wrapText="1"/>
    </xf>
    <xf numFmtId="0" fontId="20" fillId="24" borderId="19" xfId="0" applyFont="1" applyFill="1" applyBorder="1" applyAlignment="1">
      <alignment horizontal="center" wrapText="1"/>
    </xf>
    <xf numFmtId="0" fontId="0" fillId="24" borderId="19" xfId="0" applyFill="1" applyBorder="1" applyAlignment="1">
      <alignment/>
    </xf>
    <xf numFmtId="0" fontId="18" fillId="24" borderId="23" xfId="0" applyFont="1" applyFill="1" applyBorder="1" applyAlignment="1">
      <alignment horizontal="center" wrapText="1"/>
    </xf>
    <xf numFmtId="0" fontId="1" fillId="24" borderId="36" xfId="0" applyFont="1" applyFill="1" applyBorder="1" applyAlignment="1">
      <alignment horizontal="center" wrapText="1"/>
    </xf>
    <xf numFmtId="0" fontId="1" fillId="24" borderId="9" xfId="0" applyFont="1" applyFill="1" applyBorder="1" applyAlignment="1">
      <alignment horizontal="center" wrapText="1"/>
    </xf>
    <xf numFmtId="0" fontId="0" fillId="24" borderId="21" xfId="0" applyFill="1" applyBorder="1" applyAlignment="1">
      <alignment horizontal="center" wrapText="1"/>
    </xf>
    <xf numFmtId="0" fontId="18" fillId="24" borderId="22" xfId="0" applyFont="1" applyFill="1" applyBorder="1" applyAlignment="1">
      <alignment horizontal="center" wrapText="1"/>
    </xf>
    <xf numFmtId="0" fontId="18" fillId="24" borderId="24" xfId="0" applyFont="1" applyFill="1" applyBorder="1" applyAlignment="1">
      <alignment horizontal="center" wrapText="1"/>
    </xf>
    <xf numFmtId="0" fontId="3" fillId="24" borderId="31" xfId="0" applyFont="1" applyFill="1" applyBorder="1" applyAlignment="1">
      <alignment horizontal="center" wrapText="1"/>
    </xf>
    <xf numFmtId="0" fontId="0" fillId="24" borderId="38" xfId="0" applyFill="1" applyBorder="1" applyAlignment="1">
      <alignment horizontal="center"/>
    </xf>
    <xf numFmtId="0" fontId="3" fillId="0" borderId="37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0" fillId="0" borderId="38" xfId="0" applyFill="1" applyBorder="1" applyAlignment="1">
      <alignment horizontal="center"/>
    </xf>
    <xf numFmtId="0" fontId="63" fillId="24" borderId="0" xfId="0" applyFont="1" applyFill="1" applyAlignment="1">
      <alignment horizontal="center" wrapText="1"/>
    </xf>
    <xf numFmtId="0" fontId="65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19" fillId="24" borderId="22" xfId="0" applyFont="1" applyFill="1" applyBorder="1" applyAlignment="1">
      <alignment horizontal="center" wrapText="1"/>
    </xf>
    <xf numFmtId="0" fontId="19" fillId="24" borderId="23" xfId="0" applyFont="1" applyFill="1" applyBorder="1" applyAlignment="1">
      <alignment horizontal="center" wrapText="1"/>
    </xf>
    <xf numFmtId="0" fontId="22" fillId="24" borderId="24" xfId="0" applyFont="1" applyFill="1" applyBorder="1" applyAlignment="1">
      <alignment horizontal="center" wrapText="1"/>
    </xf>
    <xf numFmtId="0" fontId="1" fillId="24" borderId="25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wrapText="1"/>
    </xf>
    <xf numFmtId="0" fontId="0" fillId="24" borderId="20" xfId="0" applyFill="1" applyBorder="1" applyAlignment="1">
      <alignment horizontal="center" wrapText="1"/>
    </xf>
    <xf numFmtId="0" fontId="3" fillId="24" borderId="9" xfId="0" applyFont="1" applyFill="1" applyBorder="1" applyAlignment="1">
      <alignment horizontal="center" wrapText="1"/>
    </xf>
    <xf numFmtId="0" fontId="1" fillId="24" borderId="35" xfId="0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center" wrapText="1"/>
    </xf>
    <xf numFmtId="0" fontId="0" fillId="24" borderId="19" xfId="0" applyFill="1" applyBorder="1" applyAlignment="1">
      <alignment horizontal="center" wrapText="1"/>
    </xf>
    <xf numFmtId="0" fontId="3" fillId="24" borderId="25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wrapText="1"/>
    </xf>
    <xf numFmtId="0" fontId="20" fillId="24" borderId="20" xfId="0" applyFont="1" applyFill="1" applyBorder="1" applyAlignment="1">
      <alignment horizontal="center" wrapText="1"/>
    </xf>
  </cellXfs>
  <cellStyles count="13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2 3" xfId="73"/>
    <cellStyle name="Comma 3" xfId="74"/>
    <cellStyle name="Comma 3 2" xfId="75"/>
    <cellStyle name="Comma 3 3" xfId="76"/>
    <cellStyle name="Comma 4" xfId="77"/>
    <cellStyle name="Comma 4 2" xfId="78"/>
    <cellStyle name="Comma 5" xfId="79"/>
    <cellStyle name="Comma 6" xfId="80"/>
    <cellStyle name="Comma_Data Inputs - 2010" xfId="81"/>
    <cellStyle name="Currency" xfId="82"/>
    <cellStyle name="Currency [0]" xfId="83"/>
    <cellStyle name="Currency 2" xfId="84"/>
    <cellStyle name="Currency 2 2" xfId="85"/>
    <cellStyle name="Currency 2 3" xfId="86"/>
    <cellStyle name="Currency 3" xfId="87"/>
    <cellStyle name="Currency 3 2" xfId="88"/>
    <cellStyle name="Currency 3 3" xfId="89"/>
    <cellStyle name="Currency 3 4" xfId="90"/>
    <cellStyle name="Currency 4" xfId="91"/>
    <cellStyle name="Currency 5" xfId="92"/>
    <cellStyle name="Currency 6" xfId="93"/>
    <cellStyle name="Explanatory Text" xfId="94"/>
    <cellStyle name="Explanatory Text 2" xfId="95"/>
    <cellStyle name="Followed Hyperlink" xfId="96"/>
    <cellStyle name="Good" xfId="97"/>
    <cellStyle name="Good 2" xfId="98"/>
    <cellStyle name="Heading 1" xfId="99"/>
    <cellStyle name="Heading 1 2" xfId="100"/>
    <cellStyle name="Heading 2" xfId="101"/>
    <cellStyle name="Heading 2 2" xfId="102"/>
    <cellStyle name="Heading 3" xfId="103"/>
    <cellStyle name="Heading 3 2" xfId="104"/>
    <cellStyle name="Heading 4" xfId="105"/>
    <cellStyle name="Heading 4 2" xfId="106"/>
    <cellStyle name="Hyperlink" xfId="107"/>
    <cellStyle name="Input" xfId="108"/>
    <cellStyle name="Input 2" xfId="109"/>
    <cellStyle name="Linked Cell" xfId="110"/>
    <cellStyle name="Linked Cell 2" xfId="111"/>
    <cellStyle name="Neutral" xfId="112"/>
    <cellStyle name="Neutral 2" xfId="113"/>
    <cellStyle name="Normal 2" xfId="114"/>
    <cellStyle name="Normal 2 2" xfId="115"/>
    <cellStyle name="Normal 3" xfId="116"/>
    <cellStyle name="Normal 3 2" xfId="117"/>
    <cellStyle name="Normal 4" xfId="118"/>
    <cellStyle name="Normal 5" xfId="119"/>
    <cellStyle name="Normal_AA Calculation" xfId="120"/>
    <cellStyle name="Note" xfId="121"/>
    <cellStyle name="Note 2" xfId="122"/>
    <cellStyle name="Note 2 2" xfId="123"/>
    <cellStyle name="Output" xfId="124"/>
    <cellStyle name="Output 2" xfId="125"/>
    <cellStyle name="Output Amounts" xfId="126"/>
    <cellStyle name="Output Column Headings" xfId="127"/>
    <cellStyle name="Output Line Items" xfId="128"/>
    <cellStyle name="Output Report Heading" xfId="129"/>
    <cellStyle name="Output Report Title" xfId="130"/>
    <cellStyle name="Percent" xfId="131"/>
    <cellStyle name="Percent 2" xfId="132"/>
    <cellStyle name="Percent 2 2" xfId="133"/>
    <cellStyle name="Percent 3" xfId="134"/>
    <cellStyle name="Percent 3 2" xfId="135"/>
    <cellStyle name="Percent 3 3" xfId="136"/>
    <cellStyle name="Percent 4" xfId="137"/>
    <cellStyle name="Percent 4 2" xfId="138"/>
    <cellStyle name="Percent 5" xfId="139"/>
    <cellStyle name="Percent 6" xfId="140"/>
    <cellStyle name="Title" xfId="141"/>
    <cellStyle name="Title 2" xfId="142"/>
    <cellStyle name="Total" xfId="143"/>
    <cellStyle name="Total 2" xfId="144"/>
    <cellStyle name="Warning Text" xfId="145"/>
    <cellStyle name="Warning Text 2" xfId="146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K40"/>
  <sheetViews>
    <sheetView tabSelected="1" view="pageBreakPreview" zoomScale="60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G29" sqref="G29"/>
    </sheetView>
  </sheetViews>
  <sheetFormatPr defaultColWidth="9.140625" defaultRowHeight="12.75"/>
  <cols>
    <col min="1" max="1" width="6.00390625" style="0" bestFit="1" customWidth="1"/>
    <col min="2" max="2" width="37.57421875" style="0" customWidth="1"/>
    <col min="3" max="3" width="1.8515625" style="0" customWidth="1"/>
    <col min="4" max="4" width="0.85546875" style="0" customWidth="1"/>
    <col min="5" max="5" width="20.140625" style="0" bestFit="1" customWidth="1"/>
    <col min="6" max="6" width="18.00390625" style="0" customWidth="1"/>
    <col min="7" max="7" width="15.28125" style="0" customWidth="1"/>
    <col min="8" max="8" width="17.57421875" style="0" bestFit="1" customWidth="1"/>
    <col min="9" max="9" width="15.421875" style="0" bestFit="1" customWidth="1"/>
    <col min="10" max="12" width="15.421875" style="0" customWidth="1"/>
    <col min="13" max="13" width="16.57421875" style="0" customWidth="1"/>
    <col min="14" max="14" width="15.8515625" style="0" bestFit="1" customWidth="1"/>
    <col min="15" max="15" width="11.8515625" style="0" bestFit="1" customWidth="1"/>
    <col min="16" max="16" width="13.7109375" style="0" bestFit="1" customWidth="1"/>
    <col min="17" max="17" width="1.8515625" style="0" customWidth="1"/>
    <col min="18" max="18" width="19.421875" style="0" bestFit="1" customWidth="1"/>
    <col min="19" max="19" width="20.421875" style="0" bestFit="1" customWidth="1"/>
    <col min="20" max="20" width="2.00390625" style="0" customWidth="1"/>
    <col min="21" max="21" width="1.8515625" style="0" customWidth="1"/>
    <col min="22" max="22" width="17.00390625" style="0" bestFit="1" customWidth="1"/>
    <col min="23" max="23" width="9.57421875" style="0" bestFit="1" customWidth="1"/>
    <col min="24" max="24" width="1.421875" style="0" customWidth="1"/>
    <col min="25" max="25" width="16.57421875" style="0" bestFit="1" customWidth="1"/>
    <col min="26" max="26" width="14.421875" style="0" bestFit="1" customWidth="1"/>
  </cols>
  <sheetData>
    <row r="1" ht="12.75">
      <c r="A1" s="1"/>
    </row>
    <row r="2" spans="1:25" ht="57" customHeight="1" hidden="1">
      <c r="A2" s="7" t="s">
        <v>23</v>
      </c>
      <c r="B2" s="245"/>
      <c r="C2" s="245"/>
      <c r="D2" s="245"/>
      <c r="E2" s="245"/>
      <c r="F2" s="245"/>
      <c r="G2" s="245"/>
      <c r="H2" s="472" t="s">
        <v>227</v>
      </c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222"/>
      <c r="Y2" s="222"/>
    </row>
    <row r="3" spans="1:25" ht="18">
      <c r="A3" s="1">
        <v>1</v>
      </c>
      <c r="H3" s="474" t="s">
        <v>235</v>
      </c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248"/>
      <c r="Y3" s="248"/>
    </row>
    <row r="4" spans="1:37" ht="20.25">
      <c r="A4" s="1">
        <v>2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</row>
    <row r="5" spans="1:23" ht="15.75">
      <c r="A5" s="1">
        <v>3</v>
      </c>
      <c r="B5" s="3" t="s">
        <v>1</v>
      </c>
      <c r="D5" s="189"/>
      <c r="E5" s="189"/>
      <c r="F5" s="189"/>
      <c r="G5" s="189"/>
      <c r="H5" s="189" t="s">
        <v>3</v>
      </c>
      <c r="I5" s="189" t="s">
        <v>4</v>
      </c>
      <c r="J5" s="189" t="s">
        <v>5</v>
      </c>
      <c r="K5" s="189" t="s">
        <v>6</v>
      </c>
      <c r="L5" s="189"/>
      <c r="M5" s="189"/>
      <c r="N5" s="189" t="s">
        <v>21</v>
      </c>
      <c r="O5" s="189" t="s">
        <v>20</v>
      </c>
      <c r="P5" s="189" t="s">
        <v>22</v>
      </c>
      <c r="Q5" s="189"/>
      <c r="R5" s="189" t="s">
        <v>24</v>
      </c>
      <c r="S5" s="189" t="s">
        <v>26</v>
      </c>
      <c r="T5" s="189"/>
      <c r="U5" s="189"/>
      <c r="V5" s="189" t="s">
        <v>125</v>
      </c>
      <c r="W5" s="189" t="s">
        <v>126</v>
      </c>
    </row>
    <row r="6" spans="1:7" ht="15.75">
      <c r="A6" s="1">
        <v>4</v>
      </c>
      <c r="D6" s="189"/>
      <c r="E6" s="189"/>
      <c r="F6" s="189"/>
      <c r="G6" s="189"/>
    </row>
    <row r="7" spans="1:23" ht="12.75">
      <c r="A7" s="1">
        <v>5</v>
      </c>
      <c r="B7" s="3" t="s">
        <v>7</v>
      </c>
      <c r="H7" s="3"/>
      <c r="I7" s="3"/>
      <c r="J7" s="3" t="s">
        <v>250</v>
      </c>
      <c r="K7" s="3"/>
      <c r="L7" s="3"/>
      <c r="M7" s="3"/>
      <c r="N7" s="3" t="s">
        <v>248</v>
      </c>
      <c r="O7" s="3" t="s">
        <v>251</v>
      </c>
      <c r="P7" s="3" t="s">
        <v>252</v>
      </c>
      <c r="Q7" s="3"/>
      <c r="R7" s="3" t="s">
        <v>253</v>
      </c>
      <c r="S7" s="3" t="s">
        <v>249</v>
      </c>
      <c r="T7" s="3"/>
      <c r="U7" s="3"/>
      <c r="V7" s="3"/>
      <c r="W7" s="3" t="s">
        <v>263</v>
      </c>
    </row>
    <row r="8" spans="1:2" ht="13.5" thickBot="1">
      <c r="A8" s="1">
        <v>6</v>
      </c>
      <c r="B8" s="3"/>
    </row>
    <row r="9" spans="1:24" ht="13.5" thickTop="1">
      <c r="A9" s="1">
        <v>7</v>
      </c>
      <c r="B9" s="104"/>
      <c r="C9" s="9"/>
      <c r="D9" s="9"/>
      <c r="E9" s="9"/>
      <c r="F9" s="9"/>
      <c r="G9" s="9"/>
      <c r="H9" s="9"/>
      <c r="I9" s="9"/>
      <c r="J9" s="9"/>
      <c r="K9" s="9"/>
      <c r="L9" s="477" t="s">
        <v>297</v>
      </c>
      <c r="M9" s="477"/>
      <c r="N9" s="9"/>
      <c r="O9" s="54"/>
      <c r="P9" s="54"/>
      <c r="Q9" s="54"/>
      <c r="R9" s="54"/>
      <c r="S9" s="54"/>
      <c r="T9" s="54"/>
      <c r="U9" s="54"/>
      <c r="V9" s="54"/>
      <c r="W9" s="54"/>
      <c r="X9" s="10"/>
    </row>
    <row r="10" spans="1:24" ht="121.5" customHeight="1" hidden="1">
      <c r="A10" s="1">
        <v>8</v>
      </c>
      <c r="B10" s="26"/>
      <c r="C10" s="2"/>
      <c r="D10" s="475"/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  <c r="P10" s="476"/>
      <c r="Q10" s="87"/>
      <c r="R10" s="469" t="s">
        <v>168</v>
      </c>
      <c r="S10" s="470"/>
      <c r="T10" s="110"/>
      <c r="U10" s="2"/>
      <c r="V10" s="467" t="s">
        <v>163</v>
      </c>
      <c r="W10" s="468"/>
      <c r="X10" s="11"/>
    </row>
    <row r="11" spans="1:24" ht="51">
      <c r="A11" s="1">
        <v>9</v>
      </c>
      <c r="B11" s="26"/>
      <c r="C11" s="2"/>
      <c r="D11" s="52"/>
      <c r="E11" s="297" t="s">
        <v>298</v>
      </c>
      <c r="F11" s="298" t="s">
        <v>299</v>
      </c>
      <c r="G11" s="299" t="s">
        <v>169</v>
      </c>
      <c r="H11" s="263" t="s">
        <v>296</v>
      </c>
      <c r="I11" s="263" t="s">
        <v>219</v>
      </c>
      <c r="J11" s="263" t="s">
        <v>169</v>
      </c>
      <c r="K11" s="263" t="s">
        <v>244</v>
      </c>
      <c r="L11" s="262" t="s">
        <v>289</v>
      </c>
      <c r="M11" s="264" t="s">
        <v>290</v>
      </c>
      <c r="N11" s="263" t="s">
        <v>47</v>
      </c>
      <c r="O11" s="265" t="s">
        <v>131</v>
      </c>
      <c r="P11" s="261" t="s">
        <v>166</v>
      </c>
      <c r="Q11" s="88"/>
      <c r="R11" s="262" t="s">
        <v>161</v>
      </c>
      <c r="S11" s="264" t="s">
        <v>162</v>
      </c>
      <c r="T11" s="88"/>
      <c r="U11" s="2"/>
      <c r="V11" s="260" t="s">
        <v>262</v>
      </c>
      <c r="W11" s="261" t="s">
        <v>164</v>
      </c>
      <c r="X11" s="11"/>
    </row>
    <row r="12" spans="1:24" ht="18">
      <c r="A12" s="1">
        <v>11</v>
      </c>
      <c r="B12" s="105" t="s">
        <v>8</v>
      </c>
      <c r="C12" s="2"/>
      <c r="D12" s="2"/>
      <c r="E12" s="36"/>
      <c r="F12" s="2"/>
      <c r="G12" s="33"/>
      <c r="H12" s="2"/>
      <c r="I12" s="2"/>
      <c r="J12" s="2"/>
      <c r="K12" s="2"/>
      <c r="L12" s="36"/>
      <c r="M12" s="33"/>
      <c r="N12" s="2"/>
      <c r="O12" s="46"/>
      <c r="P12" s="55"/>
      <c r="Q12" s="46"/>
      <c r="R12" s="97"/>
      <c r="S12" s="33"/>
      <c r="T12" s="46"/>
      <c r="U12" s="2"/>
      <c r="V12" s="36"/>
      <c r="W12" s="33"/>
      <c r="X12" s="11"/>
    </row>
    <row r="13" spans="1:26" ht="12.75">
      <c r="A13" s="1">
        <v>12</v>
      </c>
      <c r="B13" s="106"/>
      <c r="C13" s="2"/>
      <c r="D13" s="2"/>
      <c r="E13" s="36"/>
      <c r="F13" s="2"/>
      <c r="G13" s="33"/>
      <c r="H13" s="8"/>
      <c r="I13" s="8"/>
      <c r="J13" s="8"/>
      <c r="K13" s="8"/>
      <c r="L13" s="50"/>
      <c r="M13" s="292"/>
      <c r="N13" s="8"/>
      <c r="O13" s="47"/>
      <c r="P13" s="56"/>
      <c r="Q13" s="47"/>
      <c r="R13" s="98"/>
      <c r="S13" s="33"/>
      <c r="T13" s="47"/>
      <c r="U13" s="2"/>
      <c r="V13" s="36"/>
      <c r="W13" s="33"/>
      <c r="X13" s="11"/>
      <c r="Z13" s="44"/>
    </row>
    <row r="14" spans="1:24" ht="12.75">
      <c r="A14" s="1">
        <v>13</v>
      </c>
      <c r="B14" s="107" t="s">
        <v>200</v>
      </c>
      <c r="C14" s="2"/>
      <c r="D14" s="2"/>
      <c r="E14" s="36"/>
      <c r="F14" s="2"/>
      <c r="G14" s="33"/>
      <c r="H14" s="8"/>
      <c r="I14" s="8"/>
      <c r="J14" s="8"/>
      <c r="K14" s="8"/>
      <c r="L14" s="50"/>
      <c r="M14" s="292"/>
      <c r="N14" s="8"/>
      <c r="O14" s="47"/>
      <c r="P14" s="56"/>
      <c r="Q14" s="47"/>
      <c r="R14" s="98"/>
      <c r="S14" s="33"/>
      <c r="T14" s="47"/>
      <c r="U14" s="2"/>
      <c r="V14" s="36"/>
      <c r="W14" s="33"/>
      <c r="X14" s="11"/>
    </row>
    <row r="15" spans="1:26" ht="12.75">
      <c r="A15" s="1"/>
      <c r="B15" s="107"/>
      <c r="C15" s="2"/>
      <c r="D15" s="2"/>
      <c r="E15" s="36"/>
      <c r="F15" s="2"/>
      <c r="G15" s="33"/>
      <c r="H15" s="8"/>
      <c r="I15" s="8"/>
      <c r="J15" s="8"/>
      <c r="K15" s="8"/>
      <c r="L15" s="50"/>
      <c r="M15" s="292"/>
      <c r="N15" s="8"/>
      <c r="O15" s="47"/>
      <c r="P15" s="56"/>
      <c r="Q15" s="47"/>
      <c r="R15" s="98"/>
      <c r="S15" s="33"/>
      <c r="T15" s="47"/>
      <c r="U15" s="2"/>
      <c r="V15" s="36"/>
      <c r="W15" s="33"/>
      <c r="X15" s="11"/>
      <c r="Z15" s="2"/>
    </row>
    <row r="16" spans="1:26" ht="12.75">
      <c r="A16" s="1">
        <v>14</v>
      </c>
      <c r="B16" s="25" t="s">
        <v>214</v>
      </c>
      <c r="C16" s="2"/>
      <c r="D16" s="254"/>
      <c r="E16" s="300">
        <v>15110274.767777916</v>
      </c>
      <c r="F16" s="254">
        <v>14072522.677209212</v>
      </c>
      <c r="G16" s="309">
        <f>F16-E16</f>
        <v>-1037752.0905687045</v>
      </c>
      <c r="H16" s="223">
        <v>15546968</v>
      </c>
      <c r="I16" s="223">
        <f>+'AA Calculation'!R16</f>
        <v>17221496.007670246</v>
      </c>
      <c r="J16" s="223">
        <f>I16-H16</f>
        <v>1674528.007670246</v>
      </c>
      <c r="K16" s="223">
        <v>7879966.29304683</v>
      </c>
      <c r="L16" s="293">
        <f>J16/($J$35-($J$30*((1814317632-'AA Calculation'!$T$24)/1814317632)))</f>
        <v>0.5117515125824513</v>
      </c>
      <c r="M16" s="294">
        <f>L16*$M$32</f>
        <v>1250129.5533895402</v>
      </c>
      <c r="N16" s="223">
        <f>G16+J16+K16+M16</f>
        <v>9766871.763537912</v>
      </c>
      <c r="O16" s="89">
        <f>+IF(OR(I16=0,H16="NA",I16="NA"),"NA",N16/(I16))</f>
        <v>0.5671325974925677</v>
      </c>
      <c r="P16" s="63">
        <f>+N16/N$32</f>
        <v>0.3951112979593035</v>
      </c>
      <c r="Q16" s="89"/>
      <c r="R16" s="84">
        <f>+P16*R$32</f>
        <v>1761303.4373651056</v>
      </c>
      <c r="S16" s="99">
        <f>+N16+R16</f>
        <v>11528175.200903017</v>
      </c>
      <c r="T16" s="82"/>
      <c r="U16" s="2"/>
      <c r="V16" s="231">
        <f>'Data Inputs - 2013'!N8</f>
        <v>4273208828</v>
      </c>
      <c r="W16" s="112">
        <f>+ROUND(S16/V16*100,3)</f>
        <v>0.27</v>
      </c>
      <c r="X16" s="64"/>
      <c r="Y16" s="254"/>
      <c r="Z16" s="254"/>
    </row>
    <row r="17" spans="1:26" ht="12.75">
      <c r="A17" s="1">
        <v>15</v>
      </c>
      <c r="B17" s="25"/>
      <c r="C17" s="2"/>
      <c r="D17" s="2"/>
      <c r="E17" s="36"/>
      <c r="F17" s="254"/>
      <c r="G17" s="33"/>
      <c r="H17" s="223"/>
      <c r="I17" s="223"/>
      <c r="J17" s="223"/>
      <c r="K17" s="223"/>
      <c r="L17" s="80"/>
      <c r="M17" s="294"/>
      <c r="N17" s="223"/>
      <c r="O17" s="89"/>
      <c r="P17" s="63"/>
      <c r="Q17" s="89"/>
      <c r="R17" s="84"/>
      <c r="S17" s="99"/>
      <c r="T17" s="82"/>
      <c r="U17" s="2"/>
      <c r="V17" s="36"/>
      <c r="W17" s="240"/>
      <c r="X17" s="64"/>
      <c r="Y17" s="254"/>
      <c r="Z17" s="254"/>
    </row>
    <row r="18" spans="1:26" ht="12.75">
      <c r="A18" s="1">
        <v>16</v>
      </c>
      <c r="B18" s="25" t="s">
        <v>13</v>
      </c>
      <c r="C18" s="2"/>
      <c r="D18" s="254"/>
      <c r="E18" s="300">
        <v>783037.4363259869</v>
      </c>
      <c r="F18" s="254">
        <v>791902.2608064712</v>
      </c>
      <c r="G18" s="301">
        <f aca="true" t="shared" si="0" ref="G18:G23">F18-E18</f>
        <v>8864.824480484356</v>
      </c>
      <c r="H18" s="223">
        <v>845661</v>
      </c>
      <c r="I18" s="223">
        <f>'AA Calculation'!R18</f>
        <v>909096.3730815172</v>
      </c>
      <c r="J18" s="223">
        <f aca="true" t="shared" si="1" ref="J18:J26">I18-H18</f>
        <v>63435.37308151717</v>
      </c>
      <c r="K18" s="223">
        <v>442080.67052771745</v>
      </c>
      <c r="L18" s="293">
        <f>J18/($J$35-($J$30*((1814317632-'AA Calculation'!$T$24)/1814317632)))</f>
        <v>0.019386446793962068</v>
      </c>
      <c r="M18" s="294">
        <f aca="true" t="shared" si="2" ref="M18:M27">L18*$M$32</f>
        <v>47358.08195279373</v>
      </c>
      <c r="N18" s="223">
        <f aca="true" t="shared" si="3" ref="N18:N27">G18+J18+K18+M18</f>
        <v>561738.9500425127</v>
      </c>
      <c r="O18" s="89">
        <f aca="true" t="shared" si="4" ref="O18:O23">+IF(OR(I18=0,H18="NA",I18="NA"),"NA",N18/I18)</f>
        <v>0.6179091311721057</v>
      </c>
      <c r="P18" s="63">
        <f aca="true" t="shared" si="5" ref="P18:P26">+N18/N$32</f>
        <v>0.02272471790754786</v>
      </c>
      <c r="Q18" s="89"/>
      <c r="R18" s="84">
        <f aca="true" t="shared" si="6" ref="R18:R26">+P18*R$32</f>
        <v>101300.8840051924</v>
      </c>
      <c r="S18" s="99">
        <f aca="true" t="shared" si="7" ref="S18:S26">+N18+R18</f>
        <v>663039.8340477052</v>
      </c>
      <c r="T18" s="82"/>
      <c r="U18" s="2"/>
      <c r="V18" s="231">
        <f>'Data Inputs - 2013'!N9</f>
        <v>231276710</v>
      </c>
      <c r="W18" s="112">
        <f aca="true" t="shared" si="8" ref="W18:W27">+ROUND(S18/V18*100,3)</f>
        <v>0.287</v>
      </c>
      <c r="X18" s="64"/>
      <c r="Y18" s="254"/>
      <c r="Z18" s="254"/>
    </row>
    <row r="19" spans="1:26" ht="12.75">
      <c r="A19" s="1">
        <v>17</v>
      </c>
      <c r="B19" s="25" t="s">
        <v>14</v>
      </c>
      <c r="C19" s="2"/>
      <c r="D19" s="254"/>
      <c r="E19" s="300">
        <v>9197988.818109112</v>
      </c>
      <c r="F19" s="254">
        <v>9474531.05625028</v>
      </c>
      <c r="G19" s="301">
        <f t="shared" si="0"/>
        <v>276542.2381411679</v>
      </c>
      <c r="H19" s="223">
        <v>9236101</v>
      </c>
      <c r="I19" s="223">
        <f>'AA Calculation'!R19</f>
        <v>9969799.239046548</v>
      </c>
      <c r="J19" s="223">
        <f t="shared" si="1"/>
        <v>733698.2390465476</v>
      </c>
      <c r="K19" s="223">
        <v>4914960.573880267</v>
      </c>
      <c r="L19" s="293">
        <f>J19/($J$35-($J$30*((1814317632-'AA Calculation'!$T$24)/1814317632)))</f>
        <v>0.224225084257349</v>
      </c>
      <c r="M19" s="294">
        <f t="shared" si="2"/>
        <v>547747.0951220867</v>
      </c>
      <c r="N19" s="223">
        <f t="shared" si="3"/>
        <v>6472948.14619007</v>
      </c>
      <c r="O19" s="89">
        <f t="shared" si="4"/>
        <v>0.6492556159846108</v>
      </c>
      <c r="P19" s="63">
        <f t="shared" si="5"/>
        <v>0.2618581471717813</v>
      </c>
      <c r="Q19" s="89"/>
      <c r="R19" s="84">
        <f>+P19*R$32</f>
        <v>1167295.5369735362</v>
      </c>
      <c r="S19" s="99">
        <f t="shared" si="7"/>
        <v>7640243.683163606</v>
      </c>
      <c r="T19" s="82"/>
      <c r="U19" s="2"/>
      <c r="V19" s="231">
        <f>'Data Inputs - 2013'!N10</f>
        <v>2435294956</v>
      </c>
      <c r="W19" s="112">
        <f t="shared" si="8"/>
        <v>0.314</v>
      </c>
      <c r="X19" s="64"/>
      <c r="Y19" s="254"/>
      <c r="Z19" s="254"/>
    </row>
    <row r="20" spans="1:26" ht="12.75">
      <c r="A20" s="1">
        <v>18</v>
      </c>
      <c r="B20" s="25" t="s">
        <v>15</v>
      </c>
      <c r="C20" s="2"/>
      <c r="D20" s="254"/>
      <c r="E20" s="300">
        <v>1443409.955574371</v>
      </c>
      <c r="F20" s="254">
        <v>1560382.6285331345</v>
      </c>
      <c r="G20" s="301">
        <f t="shared" si="0"/>
        <v>116972.67295876355</v>
      </c>
      <c r="H20" s="223">
        <v>1348850</v>
      </c>
      <c r="I20" s="223">
        <f>'AA Calculation'!R20</f>
        <v>1484073.4837255909</v>
      </c>
      <c r="J20" s="223">
        <f t="shared" si="1"/>
        <v>135223.48372559086</v>
      </c>
      <c r="K20" s="223">
        <v>783095.5085714891</v>
      </c>
      <c r="L20" s="293">
        <f>J20/($J$35-($J$30*((1814317632-'AA Calculation'!$T$24)/1814317632)))</f>
        <v>0.04132556876699723</v>
      </c>
      <c r="M20" s="294">
        <f t="shared" si="2"/>
        <v>100951.9533524219</v>
      </c>
      <c r="N20" s="223">
        <f t="shared" si="3"/>
        <v>1136243.6186082654</v>
      </c>
      <c r="O20" s="89">
        <f t="shared" si="4"/>
        <v>0.765624904068672</v>
      </c>
      <c r="P20" s="63">
        <f t="shared" si="5"/>
        <v>0.04596586315613346</v>
      </c>
      <c r="Q20" s="89"/>
      <c r="R20" s="84">
        <f t="shared" si="6"/>
        <v>204903.8668256224</v>
      </c>
      <c r="S20" s="99">
        <f>+N20+R20</f>
        <v>1341147.4854338877</v>
      </c>
      <c r="T20" s="82"/>
      <c r="U20" s="2"/>
      <c r="V20" s="231">
        <f>'Data Inputs - 2013'!N11</f>
        <v>396294926.64881295</v>
      </c>
      <c r="W20" s="112">
        <f t="shared" si="8"/>
        <v>0.338</v>
      </c>
      <c r="X20" s="64"/>
      <c r="Y20" s="254"/>
      <c r="Z20" s="254"/>
    </row>
    <row r="21" spans="1:26" ht="12.75">
      <c r="A21" s="1">
        <v>19</v>
      </c>
      <c r="B21" s="25" t="s">
        <v>16</v>
      </c>
      <c r="C21" s="2"/>
      <c r="D21" s="254"/>
      <c r="E21" s="300">
        <v>876178.2414095479</v>
      </c>
      <c r="F21" s="254">
        <v>925321.6095265095</v>
      </c>
      <c r="G21" s="301">
        <f t="shared" si="0"/>
        <v>49143.368116961676</v>
      </c>
      <c r="H21" s="223">
        <v>834757</v>
      </c>
      <c r="I21" s="223">
        <f>'AA Calculation'!R21</f>
        <v>936465.8503652757</v>
      </c>
      <c r="J21" s="223">
        <f t="shared" si="1"/>
        <v>101708.85036527575</v>
      </c>
      <c r="K21" s="223">
        <v>474345.3610208407</v>
      </c>
      <c r="L21" s="293">
        <f>J21/($J$35-($J$30*((1814317632-'AA Calculation'!$T$24)/1814317632)))</f>
        <v>0.031083181516843205</v>
      </c>
      <c r="M21" s="294">
        <f t="shared" si="2"/>
        <v>75931.39027862973</v>
      </c>
      <c r="N21" s="223">
        <f t="shared" si="3"/>
        <v>701128.9697817079</v>
      </c>
      <c r="O21" s="89">
        <f t="shared" si="4"/>
        <v>0.7486967832390546</v>
      </c>
      <c r="P21" s="63">
        <f t="shared" si="5"/>
        <v>0.028363634129150463</v>
      </c>
      <c r="Q21" s="89"/>
      <c r="R21" s="84">
        <f t="shared" si="6"/>
        <v>126437.70640287918</v>
      </c>
      <c r="S21" s="99">
        <f t="shared" si="7"/>
        <v>827566.6761845871</v>
      </c>
      <c r="T21" s="82"/>
      <c r="U21" s="2"/>
      <c r="V21" s="231">
        <f>'Data Inputs - 2013'!N12</f>
        <v>258161462</v>
      </c>
      <c r="W21" s="112">
        <f t="shared" si="8"/>
        <v>0.321</v>
      </c>
      <c r="X21" s="64"/>
      <c r="Y21" s="254"/>
      <c r="Z21" s="254"/>
    </row>
    <row r="22" spans="1:26" ht="12.75">
      <c r="A22" s="1">
        <v>20</v>
      </c>
      <c r="B22" s="25" t="s">
        <v>17</v>
      </c>
      <c r="C22" s="2"/>
      <c r="D22" s="254"/>
      <c r="E22" s="300">
        <v>1659488.167918161</v>
      </c>
      <c r="F22" s="254">
        <v>1785483.161166758</v>
      </c>
      <c r="G22" s="301">
        <f t="shared" si="0"/>
        <v>125994.99324859702</v>
      </c>
      <c r="H22" s="223">
        <v>1569891</v>
      </c>
      <c r="I22" s="223">
        <f>'AA Calculation'!R22</f>
        <v>1732958.249681462</v>
      </c>
      <c r="J22" s="223">
        <f t="shared" si="1"/>
        <v>163067.24968146207</v>
      </c>
      <c r="K22" s="223">
        <v>914794.6150195866</v>
      </c>
      <c r="L22" s="293">
        <f>J22/($J$35-($J$30*((1814317632-'AA Calculation'!$T$24)/1814317632)))</f>
        <v>0.049834885588597284</v>
      </c>
      <c r="M22" s="294">
        <f t="shared" si="2"/>
        <v>121738.89423346729</v>
      </c>
      <c r="N22" s="223">
        <f t="shared" si="3"/>
        <v>1325595.752183113</v>
      </c>
      <c r="O22" s="89">
        <f t="shared" si="4"/>
        <v>0.7649323071844188</v>
      </c>
      <c r="P22" s="63">
        <f t="shared" si="5"/>
        <v>0.053625958330867356</v>
      </c>
      <c r="Q22" s="89"/>
      <c r="R22" s="84">
        <f t="shared" si="6"/>
        <v>239050.57948984066</v>
      </c>
      <c r="S22" s="99">
        <f t="shared" si="7"/>
        <v>1564646.3316729537</v>
      </c>
      <c r="T22" s="82"/>
      <c r="U22" s="2"/>
      <c r="V22" s="231">
        <f>'Data Inputs - 2013'!N13</f>
        <v>498772236</v>
      </c>
      <c r="W22" s="112">
        <f t="shared" si="8"/>
        <v>0.314</v>
      </c>
      <c r="X22" s="64"/>
      <c r="Y22" s="254"/>
      <c r="Z22" s="254"/>
    </row>
    <row r="23" spans="1:26" ht="12.75">
      <c r="A23" s="1">
        <v>21</v>
      </c>
      <c r="B23" s="25" t="s">
        <v>18</v>
      </c>
      <c r="C23" s="2"/>
      <c r="D23" s="254"/>
      <c r="E23" s="300">
        <v>3175336.604808866</v>
      </c>
      <c r="F23" s="254">
        <v>3571976.1030448438</v>
      </c>
      <c r="G23" s="301">
        <f t="shared" si="0"/>
        <v>396639.4982359777</v>
      </c>
      <c r="H23" s="223">
        <v>2875298</v>
      </c>
      <c r="I23" s="223">
        <f>'AA Calculation'!R23</f>
        <v>3179077.9737755232</v>
      </c>
      <c r="J23" s="223">
        <f t="shared" si="1"/>
        <v>303779.97377552325</v>
      </c>
      <c r="K23" s="223">
        <v>1667027.23139517</v>
      </c>
      <c r="L23" s="293">
        <f>J23/($J$35-($J$30*((1814317632-'AA Calculation'!$T$24)/1814317632)))</f>
        <v>0.0928380178532643</v>
      </c>
      <c r="M23" s="294">
        <f t="shared" si="2"/>
        <v>226788.8749576923</v>
      </c>
      <c r="N23" s="223">
        <f t="shared" si="3"/>
        <v>2594235.5783643634</v>
      </c>
      <c r="O23" s="89">
        <f t="shared" si="4"/>
        <v>0.816033956941109</v>
      </c>
      <c r="P23" s="63">
        <f>+N23/N$32</f>
        <v>0.10494780840743341</v>
      </c>
      <c r="Q23" s="89"/>
      <c r="R23" s="84">
        <f>+P23*R$32</f>
        <v>467830.0434501522</v>
      </c>
      <c r="S23" s="99">
        <f>+N23+R23</f>
        <v>3062065.6218145154</v>
      </c>
      <c r="T23" s="82"/>
      <c r="U23" s="2"/>
      <c r="V23" s="231">
        <f>'Data Inputs - 2013'!N14</f>
        <v>921425624.7248735</v>
      </c>
      <c r="W23" s="112">
        <f t="shared" si="8"/>
        <v>0.332</v>
      </c>
      <c r="X23" s="64"/>
      <c r="Y23" s="254"/>
      <c r="Z23" s="254"/>
    </row>
    <row r="24" spans="1:28" ht="12.75">
      <c r="A24" s="1">
        <v>22</v>
      </c>
      <c r="B24" s="25" t="s">
        <v>40</v>
      </c>
      <c r="C24" s="2"/>
      <c r="D24" s="254"/>
      <c r="E24" s="36"/>
      <c r="F24" s="2"/>
      <c r="G24" s="301"/>
      <c r="L24" s="293">
        <f>J24/($J$35-($J$30*((1814317632-'AA Calculation'!$T$24)/1814317632)))</f>
        <v>0</v>
      </c>
      <c r="M24" s="294">
        <f t="shared" si="2"/>
        <v>0</v>
      </c>
      <c r="N24" s="223">
        <f t="shared" si="3"/>
        <v>0</v>
      </c>
      <c r="P24" s="63">
        <f>+N24/N$32</f>
        <v>0</v>
      </c>
      <c r="Q24" s="89"/>
      <c r="R24" s="84">
        <f>+P24*R$32</f>
        <v>0</v>
      </c>
      <c r="S24" s="99">
        <f>+N24+R24</f>
        <v>0</v>
      </c>
      <c r="T24" s="82"/>
      <c r="U24" s="2"/>
      <c r="V24" s="258">
        <f>'Data Inputs - 2013'!N15</f>
        <v>0</v>
      </c>
      <c r="W24" s="291" t="s">
        <v>295</v>
      </c>
      <c r="X24" s="259"/>
      <c r="Y24" s="254"/>
      <c r="Z24" s="254"/>
      <c r="AB24" s="62"/>
    </row>
    <row r="25" spans="1:26" ht="12.75">
      <c r="A25" s="1">
        <v>23</v>
      </c>
      <c r="B25" s="25" t="s">
        <v>19</v>
      </c>
      <c r="C25" s="2"/>
      <c r="D25" s="254"/>
      <c r="E25" s="300">
        <v>702143.2107361628</v>
      </c>
      <c r="F25" s="254">
        <v>723323.085250341</v>
      </c>
      <c r="G25" s="301">
        <f>F25-E25</f>
        <v>21179.87451417814</v>
      </c>
      <c r="H25" s="223">
        <v>695436</v>
      </c>
      <c r="I25" s="223">
        <f>'AA Calculation'!R25</f>
        <v>729588.0753937117</v>
      </c>
      <c r="J25" s="223">
        <f t="shared" si="1"/>
        <v>34152.07539371168</v>
      </c>
      <c r="K25" s="223">
        <v>364448.2669937074</v>
      </c>
      <c r="L25" s="293">
        <f>J25/($J$35-($J$30*((1814317632-'AA Calculation'!$T$24)/1814317632)))</f>
        <v>0.010437195532416305</v>
      </c>
      <c r="M25" s="294">
        <f t="shared" si="2"/>
        <v>25496.449485289373</v>
      </c>
      <c r="N25" s="223">
        <f t="shared" si="3"/>
        <v>445276.6663868866</v>
      </c>
      <c r="O25" s="89">
        <f>+IF(OR(I25=0,H25="NA",I25="NA"),"NA",N25/I25)</f>
        <v>0.6103124234131698</v>
      </c>
      <c r="P25" s="63">
        <f t="shared" si="5"/>
        <v>0.018013325644749223</v>
      </c>
      <c r="Q25" s="89"/>
      <c r="R25" s="84">
        <f t="shared" si="6"/>
        <v>80298.7222596244</v>
      </c>
      <c r="S25" s="99">
        <f t="shared" si="7"/>
        <v>525575.388646511</v>
      </c>
      <c r="T25" s="82"/>
      <c r="U25" s="2"/>
      <c r="V25" s="231">
        <f>'Data Inputs - 2013'!N16</f>
        <v>192648476.00101495</v>
      </c>
      <c r="W25" s="112">
        <f t="shared" si="8"/>
        <v>0.273</v>
      </c>
      <c r="X25" s="64"/>
      <c r="Y25" s="254"/>
      <c r="Z25" s="254"/>
    </row>
    <row r="26" spans="1:26" ht="15">
      <c r="A26" s="1">
        <v>24</v>
      </c>
      <c r="B26" s="25" t="s">
        <v>213</v>
      </c>
      <c r="C26" s="2"/>
      <c r="D26" s="254"/>
      <c r="E26" s="300">
        <v>422941.0808745685</v>
      </c>
      <c r="F26" s="254">
        <v>457897.8880284431</v>
      </c>
      <c r="G26" s="301">
        <f>F26-E26</f>
        <v>34956.8071538746</v>
      </c>
      <c r="H26" s="223">
        <v>365351</v>
      </c>
      <c r="I26" s="223">
        <f>'AA Calculation'!R26</f>
        <v>413123.002032711</v>
      </c>
      <c r="J26" s="223">
        <f t="shared" si="1"/>
        <v>47772.002032710996</v>
      </c>
      <c r="K26" s="223">
        <v>223518.6464723684</v>
      </c>
      <c r="L26" s="293">
        <f>J26/($J$35-($J$30*((1814317632-'AA Calculation'!$T$24)/1814317632)))</f>
        <v>0.014599573245326129</v>
      </c>
      <c r="M26" s="294">
        <f t="shared" si="2"/>
        <v>35664.49249706291</v>
      </c>
      <c r="N26" s="223">
        <f t="shared" si="3"/>
        <v>341911.9481560169</v>
      </c>
      <c r="O26" s="90">
        <f>+IF(OR(I26=0,H26="NA",I26="NA"),"NA",N26/I26)</f>
        <v>0.8276274777092765</v>
      </c>
      <c r="P26" s="63">
        <f t="shared" si="5"/>
        <v>0.01383178533458929</v>
      </c>
      <c r="Q26" s="90"/>
      <c r="R26" s="84">
        <f t="shared" si="6"/>
        <v>61658.50275741206</v>
      </c>
      <c r="S26" s="99">
        <f t="shared" si="7"/>
        <v>403570.4509134289</v>
      </c>
      <c r="T26" s="82"/>
      <c r="U26" s="2"/>
      <c r="V26" s="231">
        <f>'Data Inputs - 2013'!N17</f>
        <v>104393439</v>
      </c>
      <c r="W26" s="112">
        <f t="shared" si="8"/>
        <v>0.387</v>
      </c>
      <c r="X26" s="65"/>
      <c r="Y26" s="254"/>
      <c r="Z26" s="254"/>
    </row>
    <row r="27" spans="1:26" ht="12.75">
      <c r="A27" s="1">
        <v>25</v>
      </c>
      <c r="B27" s="26" t="s">
        <v>199</v>
      </c>
      <c r="C27" s="2"/>
      <c r="D27" s="256"/>
      <c r="E27" s="302">
        <f aca="true" t="shared" si="9" ref="E27:L27">SUM(E16:E26)</f>
        <v>33370798.28353469</v>
      </c>
      <c r="F27" s="256">
        <f t="shared" si="9"/>
        <v>33363340.469815996</v>
      </c>
      <c r="G27" s="310">
        <f t="shared" si="9"/>
        <v>-7457.813718699559</v>
      </c>
      <c r="H27" s="223">
        <f t="shared" si="9"/>
        <v>33318313</v>
      </c>
      <c r="I27" s="223">
        <f t="shared" si="9"/>
        <v>36575678.25477259</v>
      </c>
      <c r="J27" s="223">
        <f t="shared" si="9"/>
        <v>3257365.2547725854</v>
      </c>
      <c r="K27" s="223">
        <f t="shared" si="9"/>
        <v>17664237.166927975</v>
      </c>
      <c r="L27" s="293">
        <f t="shared" si="9"/>
        <v>0.9954814661372068</v>
      </c>
      <c r="M27" s="294">
        <f t="shared" si="2"/>
        <v>2431806.785268984</v>
      </c>
      <c r="N27" s="223">
        <f t="shared" si="3"/>
        <v>23345951.393250845</v>
      </c>
      <c r="O27" s="89">
        <f>+IF(OR(I27=0,H27="NA",I27="NA"),"NA",N27/I27)</f>
        <v>0.6382916874604927</v>
      </c>
      <c r="P27" s="63">
        <f>SUM(P16:P26)</f>
        <v>0.9444425380415559</v>
      </c>
      <c r="Q27" s="89"/>
      <c r="R27" s="84">
        <f>SUM(R16:R26)</f>
        <v>4210079.279529365</v>
      </c>
      <c r="S27" s="99">
        <f>SUM(S16:S26)</f>
        <v>27556030.672780212</v>
      </c>
      <c r="T27" s="82"/>
      <c r="U27" s="2"/>
      <c r="V27" s="231">
        <f>SUM(V16:V26)</f>
        <v>9311476658.374702</v>
      </c>
      <c r="W27" s="112">
        <f t="shared" si="8"/>
        <v>0.296</v>
      </c>
      <c r="X27" s="232"/>
      <c r="Y27" s="254"/>
      <c r="Z27" s="254"/>
    </row>
    <row r="28" spans="1:26" ht="12.75">
      <c r="A28" s="1">
        <v>26</v>
      </c>
      <c r="B28" s="25"/>
      <c r="C28" s="2"/>
      <c r="D28" s="2"/>
      <c r="E28" s="36"/>
      <c r="F28" s="254"/>
      <c r="G28" s="33"/>
      <c r="H28" s="223"/>
      <c r="I28" s="223"/>
      <c r="J28" s="223"/>
      <c r="K28" s="223"/>
      <c r="L28" s="80"/>
      <c r="M28" s="294"/>
      <c r="N28" s="223"/>
      <c r="O28" s="89"/>
      <c r="P28" s="63"/>
      <c r="Q28" s="89"/>
      <c r="R28" s="84"/>
      <c r="S28" s="99"/>
      <c r="T28" s="82"/>
      <c r="U28" s="2"/>
      <c r="V28" s="231"/>
      <c r="W28" s="240"/>
      <c r="X28" s="232"/>
      <c r="Y28" s="254"/>
      <c r="Z28" s="254"/>
    </row>
    <row r="29" spans="1:28" ht="12.75">
      <c r="A29" s="1">
        <v>27</v>
      </c>
      <c r="B29" s="26" t="s">
        <v>211</v>
      </c>
      <c r="C29" s="2"/>
      <c r="D29" s="254"/>
      <c r="E29" s="300">
        <v>438836.85372751084</v>
      </c>
      <c r="F29" s="254">
        <v>429670.3502333297</v>
      </c>
      <c r="G29" s="309">
        <f>F29-E29</f>
        <v>-9166.503494181146</v>
      </c>
      <c r="H29" s="223">
        <v>0</v>
      </c>
      <c r="I29" s="223">
        <f>'AA Calculation'!R29</f>
        <v>0</v>
      </c>
      <c r="J29" s="223">
        <f>I29-H29</f>
        <v>0</v>
      </c>
      <c r="K29" s="223">
        <v>255222.63305813074</v>
      </c>
      <c r="L29" s="293">
        <f>J29/($J$35-($J$30*((1814317632-'AA Calculation'!$T$24)/1814317632)))</f>
        <v>0</v>
      </c>
      <c r="M29" s="294">
        <f>L29*$M$32</f>
        <v>0</v>
      </c>
      <c r="N29" s="223">
        <f>G29+J29+K29+M29</f>
        <v>246056.1295639496</v>
      </c>
      <c r="O29" s="89" t="str">
        <f>+IF(OR(I29=0,H29="NA",I29="NA"),"NA",N29/I29)</f>
        <v>NA</v>
      </c>
      <c r="P29" s="63">
        <f>+N29/N$32</f>
        <v>0.009954011793806767</v>
      </c>
      <c r="Q29" s="89"/>
      <c r="R29" s="84">
        <f>+P29*R$32</f>
        <v>44372.396533724175</v>
      </c>
      <c r="S29" s="99">
        <f>+N29+R29</f>
        <v>290428.52609767375</v>
      </c>
      <c r="T29" s="82"/>
      <c r="U29" s="2"/>
      <c r="V29" s="231">
        <f>'Data Inputs - 2013'!N21</f>
        <v>178920000</v>
      </c>
      <c r="W29" s="112">
        <f>+ROUND(S29/V29*100,3)</f>
        <v>0.162</v>
      </c>
      <c r="X29" s="232"/>
      <c r="Y29" s="254"/>
      <c r="Z29" s="254"/>
      <c r="AA29" s="233"/>
      <c r="AB29" s="234"/>
    </row>
    <row r="30" spans="1:27" ht="12.75">
      <c r="A30" s="1">
        <v>28</v>
      </c>
      <c r="B30" s="26" t="s">
        <v>294</v>
      </c>
      <c r="C30" s="2"/>
      <c r="D30" s="2"/>
      <c r="E30" s="300">
        <v>1671341.6874906193</v>
      </c>
      <c r="F30" s="254">
        <v>1941476.1752782098</v>
      </c>
      <c r="G30" s="301">
        <f>F30-E30</f>
        <v>270134.4877875906</v>
      </c>
      <c r="H30" s="223">
        <v>1205161</v>
      </c>
      <c r="I30" s="223">
        <f>'AA Calculation'!R24</f>
        <v>1265937.1290875196</v>
      </c>
      <c r="J30" s="223">
        <f>I30-H30</f>
        <v>60776.1290875196</v>
      </c>
      <c r="K30" s="223">
        <v>3228181.194241914</v>
      </c>
      <c r="L30" s="293">
        <f>(J30-(J30*((1814317632-'AA Calculation'!$T$24)/1814317632)))/(J32-(J30*((1814317632-'AA Calculation'!$T$24)/1814317632)))</f>
        <v>0.004518533862793201</v>
      </c>
      <c r="M30" s="294">
        <f>L30*$M$32</f>
        <v>11038.077232764552</v>
      </c>
      <c r="N30" s="223">
        <f>G30+J30+K30+M30-M32</f>
        <v>1127285.0258480404</v>
      </c>
      <c r="O30" s="89">
        <f>+IF(OR(I30=0,H30="NA",I30="NA"),"NA",N30/I30)</f>
        <v>0.8904747320750289</v>
      </c>
      <c r="P30" s="63">
        <f>+N30/N$32</f>
        <v>0.04560345016463749</v>
      </c>
      <c r="Q30" s="89"/>
      <c r="R30" s="84">
        <f>+P30*R$32</f>
        <v>203288.32393691113</v>
      </c>
      <c r="S30" s="99">
        <f>+N30+R30</f>
        <v>1330573.3497849514</v>
      </c>
      <c r="T30" s="92"/>
      <c r="U30" s="2"/>
      <c r="V30" s="231">
        <f>'Data Inputs - 2013'!N25</f>
        <v>322080003</v>
      </c>
      <c r="W30" s="112">
        <f>+ROUND(S30/V30*100,3)</f>
        <v>0.413</v>
      </c>
      <c r="X30" s="232"/>
      <c r="Y30" s="254"/>
      <c r="Z30" s="254"/>
      <c r="AA30" s="233"/>
    </row>
    <row r="31" spans="1:26" ht="12.75">
      <c r="A31" s="1">
        <v>29</v>
      </c>
      <c r="B31" s="25"/>
      <c r="C31" s="2"/>
      <c r="D31" s="2"/>
      <c r="E31" s="36"/>
      <c r="F31" s="254"/>
      <c r="G31" s="33"/>
      <c r="H31" s="223"/>
      <c r="I31" s="224"/>
      <c r="J31" s="224"/>
      <c r="K31" s="224"/>
      <c r="L31" s="83"/>
      <c r="M31" s="295"/>
      <c r="N31" s="223"/>
      <c r="O31" s="89"/>
      <c r="P31" s="63"/>
      <c r="Q31" s="89"/>
      <c r="R31" s="102"/>
      <c r="S31" s="63"/>
      <c r="T31" s="89"/>
      <c r="U31" s="2"/>
      <c r="V31" s="231"/>
      <c r="W31" s="33"/>
      <c r="X31" s="232"/>
      <c r="Y31" s="254"/>
      <c r="Z31" s="254"/>
    </row>
    <row r="32" spans="1:26" ht="12.75">
      <c r="A32" s="1">
        <v>30</v>
      </c>
      <c r="B32" s="35" t="s">
        <v>42</v>
      </c>
      <c r="C32" s="2"/>
      <c r="D32" s="256"/>
      <c r="E32" s="302">
        <f aca="true" t="shared" si="10" ref="E32:L32">E27+E29+E30</f>
        <v>35480976.82475282</v>
      </c>
      <c r="F32" s="256">
        <f t="shared" si="10"/>
        <v>35734486.99532753</v>
      </c>
      <c r="G32" s="303">
        <f t="shared" si="10"/>
        <v>253510.1705747099</v>
      </c>
      <c r="H32" s="223">
        <f t="shared" si="10"/>
        <v>34523474</v>
      </c>
      <c r="I32" s="223">
        <f t="shared" si="10"/>
        <v>37841615.38386011</v>
      </c>
      <c r="J32" s="223">
        <f t="shared" si="10"/>
        <v>3318141.3838601047</v>
      </c>
      <c r="K32" s="223">
        <f t="shared" si="10"/>
        <v>21147640.99422802</v>
      </c>
      <c r="L32" s="293">
        <f t="shared" si="10"/>
        <v>1</v>
      </c>
      <c r="M32" s="294">
        <f>(K30/1814317632)*(1814317632-'AA Calculation'!T24)</f>
        <v>2442844.8625017484</v>
      </c>
      <c r="N32" s="223">
        <f>N27+N29+N30</f>
        <v>24719292.548662834</v>
      </c>
      <c r="O32" s="89">
        <f>+IF(OR(I32=0,H32="NA",I32="NA"),"NA",N32/I32)</f>
        <v>0.6532303734371208</v>
      </c>
      <c r="P32" s="63">
        <f>+P27+P29+P30</f>
        <v>1</v>
      </c>
      <c r="Q32" s="89"/>
      <c r="R32" s="249">
        <v>4457740</v>
      </c>
      <c r="S32" s="257">
        <f>+S27+S29+S30</f>
        <v>29177032.548662838</v>
      </c>
      <c r="T32" s="82"/>
      <c r="U32" s="2"/>
      <c r="V32" s="231">
        <f>V27+V29+V30</f>
        <v>9812476661.374702</v>
      </c>
      <c r="W32" s="112">
        <f>+ROUND(S32/V32*100,3)</f>
        <v>0.297</v>
      </c>
      <c r="X32" s="232"/>
      <c r="Y32" s="254"/>
      <c r="Z32" s="254"/>
    </row>
    <row r="33" spans="1:26" ht="12.75">
      <c r="A33" s="1">
        <v>31</v>
      </c>
      <c r="B33" s="26"/>
      <c r="C33" s="2"/>
      <c r="D33" s="2"/>
      <c r="E33" s="300">
        <f>K35</f>
        <v>21147640.99422802</v>
      </c>
      <c r="F33" s="254">
        <f>K35</f>
        <v>21147640.99422802</v>
      </c>
      <c r="G33" s="301"/>
      <c r="H33" s="224"/>
      <c r="I33" s="224"/>
      <c r="J33" s="224"/>
      <c r="K33" s="224"/>
      <c r="L33" s="83"/>
      <c r="M33" s="295"/>
      <c r="N33" s="223"/>
      <c r="O33" s="89"/>
      <c r="P33" s="63"/>
      <c r="Q33" s="89"/>
      <c r="R33" s="100"/>
      <c r="S33" s="101"/>
      <c r="T33" s="89"/>
      <c r="U33" s="2"/>
      <c r="V33" s="231"/>
      <c r="W33" s="33"/>
      <c r="X33" s="232"/>
      <c r="Z33" s="2"/>
    </row>
    <row r="34" spans="1:24" ht="12.75">
      <c r="A34" s="1">
        <v>32</v>
      </c>
      <c r="B34" s="26"/>
      <c r="C34" s="2"/>
      <c r="D34" s="2"/>
      <c r="E34" s="300">
        <f>E32+E33</f>
        <v>56628617.81898084</v>
      </c>
      <c r="F34" s="254">
        <f>F32+F33</f>
        <v>56882127.98955555</v>
      </c>
      <c r="G34" s="33"/>
      <c r="H34" s="82"/>
      <c r="I34" s="82"/>
      <c r="J34" s="82"/>
      <c r="K34" s="82"/>
      <c r="L34" s="84"/>
      <c r="M34" s="99"/>
      <c r="N34" s="223"/>
      <c r="O34" s="89"/>
      <c r="P34" s="63"/>
      <c r="Q34" s="89"/>
      <c r="R34" s="100"/>
      <c r="S34" s="296"/>
      <c r="T34" s="89"/>
      <c r="U34" s="2"/>
      <c r="V34" s="231"/>
      <c r="W34" s="33"/>
      <c r="X34" s="232"/>
    </row>
    <row r="35" spans="1:24" ht="14.25">
      <c r="A35" s="1">
        <v>33</v>
      </c>
      <c r="B35" s="25" t="s">
        <v>31</v>
      </c>
      <c r="C35" s="2"/>
      <c r="D35" s="2"/>
      <c r="E35" s="36"/>
      <c r="F35" s="2"/>
      <c r="G35" s="33"/>
      <c r="H35" s="86">
        <f>+H32</f>
        <v>34523474</v>
      </c>
      <c r="I35" s="223">
        <f>I32</f>
        <v>37841615.38386011</v>
      </c>
      <c r="J35" s="223">
        <f>+J32</f>
        <v>3318141.3838601047</v>
      </c>
      <c r="K35" s="223">
        <f>+K32</f>
        <v>21147640.99422802</v>
      </c>
      <c r="L35" s="293">
        <f>L32</f>
        <v>1</v>
      </c>
      <c r="M35" s="294"/>
      <c r="N35" s="223">
        <f>+N32</f>
        <v>24719292.548662834</v>
      </c>
      <c r="O35" s="89">
        <f>+IF(OR(I35=0,H35="NA",I35="NA"),"NA",N35/I35)</f>
        <v>0.6532303734371208</v>
      </c>
      <c r="P35" s="63"/>
      <c r="Q35" s="89"/>
      <c r="R35" s="102"/>
      <c r="S35" s="296"/>
      <c r="T35" s="89"/>
      <c r="U35" s="2"/>
      <c r="V35" s="231"/>
      <c r="W35" s="33"/>
      <c r="X35" s="232"/>
    </row>
    <row r="36" spans="1:24" ht="12.75">
      <c r="A36" s="1">
        <v>34</v>
      </c>
      <c r="B36" s="25"/>
      <c r="C36" s="2"/>
      <c r="D36" s="2"/>
      <c r="E36" s="48"/>
      <c r="F36" s="49"/>
      <c r="G36" s="109"/>
      <c r="H36" s="49"/>
      <c r="I36" s="49"/>
      <c r="J36" s="49"/>
      <c r="K36" s="49"/>
      <c r="L36" s="48"/>
      <c r="M36" s="109"/>
      <c r="N36" s="51"/>
      <c r="O36" s="94"/>
      <c r="P36" s="57"/>
      <c r="Q36" s="91"/>
      <c r="R36" s="103"/>
      <c r="S36" s="57"/>
      <c r="T36" s="91"/>
      <c r="U36" s="2"/>
      <c r="V36" s="235"/>
      <c r="W36" s="109"/>
      <c r="X36" s="11"/>
    </row>
    <row r="37" spans="1:24" ht="13.5" thickBot="1">
      <c r="A37" s="1">
        <v>35</v>
      </c>
      <c r="B37" s="27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58"/>
      <c r="P37" s="58"/>
      <c r="Q37" s="58"/>
      <c r="R37" s="58"/>
      <c r="S37" s="58"/>
      <c r="T37" s="58"/>
      <c r="U37" s="12"/>
      <c r="V37" s="12"/>
      <c r="W37" s="12"/>
      <c r="X37" s="13"/>
    </row>
    <row r="38" spans="1:14" ht="13.5" thickTop="1">
      <c r="A38" s="1">
        <v>36</v>
      </c>
      <c r="B38" s="2"/>
      <c r="K38" s="188"/>
      <c r="L38" s="188"/>
      <c r="M38" s="188"/>
      <c r="N38" s="188"/>
    </row>
    <row r="39" spans="1:19" ht="15">
      <c r="A39" s="243">
        <v>37</v>
      </c>
      <c r="B39" s="255" t="s">
        <v>260</v>
      </c>
      <c r="H39" s="219"/>
      <c r="I39" s="220"/>
      <c r="J39" s="220"/>
      <c r="K39" s="220"/>
      <c r="L39" s="220"/>
      <c r="M39" s="220"/>
      <c r="N39" s="188"/>
      <c r="S39" s="45"/>
    </row>
    <row r="40" spans="2:13" ht="15">
      <c r="B40" s="255" t="s">
        <v>261</v>
      </c>
      <c r="I40" s="218"/>
      <c r="J40" s="218"/>
      <c r="K40" s="218"/>
      <c r="L40" s="218"/>
      <c r="M40" s="218"/>
    </row>
  </sheetData>
  <sheetProtection/>
  <mergeCells count="7">
    <mergeCell ref="V10:W10"/>
    <mergeCell ref="R10:S10"/>
    <mergeCell ref="B4:W4"/>
    <mergeCell ref="H2:W2"/>
    <mergeCell ref="H3:W3"/>
    <mergeCell ref="D10:P10"/>
    <mergeCell ref="L9:M9"/>
  </mergeCells>
  <conditionalFormatting sqref="V18:V34 V13:V16 O16:O23 O25:O36 W13:W34">
    <cfRule type="cellIs" priority="7" dxfId="0" operator="lessThan" stopIfTrue="1">
      <formula>0</formula>
    </cfRule>
  </conditionalFormatting>
  <printOptions/>
  <pageMargins left="0.27" right="0.2" top="0.41" bottom="0.44" header="0.28" footer="0.24"/>
  <pageSetup fitToHeight="1" fitToWidth="1" horizontalDpi="600" verticalDpi="600" orientation="landscape" paperSize="17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Y42"/>
  <sheetViews>
    <sheetView view="pageBreakPreview" zoomScale="60" zoomScalePageLayoutView="0" workbookViewId="0" topLeftCell="A1">
      <pane xSplit="3" ySplit="11" topLeftCell="I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C21" sqref="C21"/>
    </sheetView>
  </sheetViews>
  <sheetFormatPr defaultColWidth="9.140625" defaultRowHeight="12.75"/>
  <cols>
    <col min="1" max="1" width="6.8515625" style="0" bestFit="1" customWidth="1"/>
    <col min="2" max="2" width="47.00390625" style="0" bestFit="1" customWidth="1"/>
    <col min="3" max="3" width="1.8515625" style="0" customWidth="1"/>
    <col min="4" max="4" width="21.8515625" style="0" bestFit="1" customWidth="1"/>
    <col min="5" max="5" width="19.00390625" style="0" bestFit="1" customWidth="1"/>
    <col min="6" max="6" width="17.28125" style="0" bestFit="1" customWidth="1"/>
    <col min="7" max="7" width="18.00390625" style="0" bestFit="1" customWidth="1"/>
    <col min="8" max="8" width="20.140625" style="0" bestFit="1" customWidth="1"/>
    <col min="9" max="9" width="1.8515625" style="0" customWidth="1"/>
    <col min="10" max="10" width="19.421875" style="0" bestFit="1" customWidth="1"/>
    <col min="11" max="11" width="20.421875" style="0" bestFit="1" customWidth="1"/>
    <col min="12" max="12" width="2.00390625" style="0" customWidth="1"/>
    <col min="13" max="13" width="20.57421875" style="0" bestFit="1" customWidth="1"/>
    <col min="14" max="14" width="20.421875" style="0" bestFit="1" customWidth="1"/>
    <col min="15" max="15" width="2.28125" style="0" customWidth="1"/>
    <col min="16" max="16" width="17.7109375" style="0" bestFit="1" customWidth="1"/>
    <col min="17" max="17" width="16.57421875" style="0" bestFit="1" customWidth="1"/>
    <col min="18" max="18" width="19.140625" style="0" bestFit="1" customWidth="1"/>
    <col min="19" max="19" width="1.8515625" style="0" customWidth="1"/>
    <col min="20" max="20" width="23.7109375" style="0" bestFit="1" customWidth="1"/>
    <col min="21" max="21" width="18.28125" style="0" bestFit="1" customWidth="1"/>
    <col min="22" max="22" width="1.421875" style="0" customWidth="1"/>
  </cols>
  <sheetData>
    <row r="1" ht="12.75">
      <c r="A1" s="1"/>
    </row>
    <row r="2" spans="1:21" ht="30" hidden="1">
      <c r="A2" s="7" t="s">
        <v>23</v>
      </c>
      <c r="B2" s="245"/>
      <c r="C2" s="245"/>
      <c r="D2" s="478" t="s">
        <v>234</v>
      </c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</row>
    <row r="3" ht="12.75" hidden="1">
      <c r="A3" s="1">
        <f>ROW()</f>
        <v>3</v>
      </c>
    </row>
    <row r="4" spans="1:24" ht="20.25" customHeight="1" hidden="1">
      <c r="A4" s="1">
        <f>ROW()</f>
        <v>4</v>
      </c>
      <c r="B4" s="250"/>
      <c r="C4" s="250"/>
      <c r="D4" s="471" t="s">
        <v>236</v>
      </c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250"/>
      <c r="W4" s="250"/>
      <c r="X4" s="250"/>
    </row>
    <row r="5" spans="1:21" ht="15.75" hidden="1">
      <c r="A5" s="1">
        <f>ROW()</f>
        <v>5</v>
      </c>
      <c r="B5" s="3" t="s">
        <v>1</v>
      </c>
      <c r="D5" s="189" t="s">
        <v>3</v>
      </c>
      <c r="E5" s="189" t="s">
        <v>4</v>
      </c>
      <c r="F5" s="189" t="s">
        <v>5</v>
      </c>
      <c r="G5" s="189" t="s">
        <v>6</v>
      </c>
      <c r="H5" s="189" t="s">
        <v>21</v>
      </c>
      <c r="I5" s="189"/>
      <c r="J5" s="189" t="s">
        <v>22</v>
      </c>
      <c r="K5" s="189" t="s">
        <v>24</v>
      </c>
      <c r="L5" s="189"/>
      <c r="M5" s="189" t="s">
        <v>27</v>
      </c>
      <c r="N5" s="189" t="s">
        <v>70</v>
      </c>
      <c r="O5" s="189"/>
      <c r="P5" s="189"/>
      <c r="Q5" s="189"/>
      <c r="R5" s="189"/>
      <c r="S5" s="189"/>
      <c r="T5" s="189" t="s">
        <v>125</v>
      </c>
      <c r="U5" s="189" t="s">
        <v>126</v>
      </c>
    </row>
    <row r="6" ht="12.75" hidden="1">
      <c r="A6" s="1">
        <f>ROW()</f>
        <v>6</v>
      </c>
    </row>
    <row r="7" spans="1:21" ht="23.25" customHeight="1" hidden="1">
      <c r="A7" s="1">
        <f>ROW()</f>
        <v>7</v>
      </c>
      <c r="B7" s="3" t="s">
        <v>7</v>
      </c>
      <c r="D7" s="3"/>
      <c r="E7" s="3"/>
      <c r="F7" s="3" t="s">
        <v>196</v>
      </c>
      <c r="G7" s="3" t="s">
        <v>254</v>
      </c>
      <c r="H7" s="3" t="s">
        <v>255</v>
      </c>
      <c r="I7" s="3"/>
      <c r="J7" s="3" t="s">
        <v>256</v>
      </c>
      <c r="K7" s="3" t="s">
        <v>197</v>
      </c>
      <c r="L7" s="3"/>
      <c r="M7" s="3" t="s">
        <v>257</v>
      </c>
      <c r="N7" s="3" t="s">
        <v>198</v>
      </c>
      <c r="O7" s="3"/>
      <c r="P7" s="3"/>
      <c r="Q7" s="3"/>
      <c r="R7" s="3"/>
      <c r="S7" s="3"/>
      <c r="T7" s="3"/>
      <c r="U7" s="3" t="s">
        <v>245</v>
      </c>
    </row>
    <row r="8" spans="1:2" ht="13.5" thickBot="1">
      <c r="A8" s="1">
        <f>ROW()</f>
        <v>8</v>
      </c>
      <c r="B8" s="3"/>
    </row>
    <row r="9" spans="1:22" ht="13.5" thickTop="1">
      <c r="A9" s="1">
        <f>ROW()</f>
        <v>9</v>
      </c>
      <c r="B9" s="104"/>
      <c r="C9" s="9"/>
      <c r="D9" s="9"/>
      <c r="E9" s="9"/>
      <c r="F9" s="9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10"/>
    </row>
    <row r="10" spans="1:22" ht="78.75" customHeight="1">
      <c r="A10" s="1">
        <f>ROW()</f>
        <v>10</v>
      </c>
      <c r="B10" s="26"/>
      <c r="C10" s="2"/>
      <c r="D10" s="467" t="s">
        <v>159</v>
      </c>
      <c r="E10" s="479"/>
      <c r="F10" s="479"/>
      <c r="G10" s="479"/>
      <c r="H10" s="468"/>
      <c r="I10" s="87"/>
      <c r="J10" s="469" t="s">
        <v>167</v>
      </c>
      <c r="K10" s="470"/>
      <c r="L10" s="110"/>
      <c r="M10" s="467" t="s">
        <v>168</v>
      </c>
      <c r="N10" s="468"/>
      <c r="O10" s="110"/>
      <c r="P10" s="467" t="s">
        <v>288</v>
      </c>
      <c r="Q10" s="479"/>
      <c r="R10" s="480"/>
      <c r="S10" s="2"/>
      <c r="T10" s="467" t="s">
        <v>163</v>
      </c>
      <c r="U10" s="468"/>
      <c r="V10" s="11"/>
    </row>
    <row r="11" spans="1:22" ht="38.25">
      <c r="A11" s="1">
        <f>ROW()</f>
        <v>11</v>
      </c>
      <c r="B11" s="26"/>
      <c r="C11" s="2"/>
      <c r="D11" s="95" t="s">
        <v>165</v>
      </c>
      <c r="E11" s="52" t="s">
        <v>157</v>
      </c>
      <c r="F11" s="52" t="s">
        <v>169</v>
      </c>
      <c r="G11" s="88" t="s">
        <v>131</v>
      </c>
      <c r="H11" s="93" t="s">
        <v>166</v>
      </c>
      <c r="I11" s="88"/>
      <c r="J11" s="95" t="s">
        <v>161</v>
      </c>
      <c r="K11" s="96" t="s">
        <v>162</v>
      </c>
      <c r="L11" s="88"/>
      <c r="M11" s="95" t="s">
        <v>160</v>
      </c>
      <c r="N11" s="96" t="s">
        <v>201</v>
      </c>
      <c r="O11" s="52"/>
      <c r="P11" s="95" t="s">
        <v>289</v>
      </c>
      <c r="Q11" s="52" t="s">
        <v>290</v>
      </c>
      <c r="R11" s="96" t="s">
        <v>291</v>
      </c>
      <c r="S11" s="2"/>
      <c r="T11" s="108" t="s">
        <v>287</v>
      </c>
      <c r="U11" s="93" t="s">
        <v>164</v>
      </c>
      <c r="V11" s="11"/>
    </row>
    <row r="12" spans="1:22" ht="12.75">
      <c r="A12" s="1">
        <f>ROW()</f>
        <v>12</v>
      </c>
      <c r="B12" s="26"/>
      <c r="C12" s="2"/>
      <c r="D12" s="36"/>
      <c r="E12" s="2"/>
      <c r="F12" s="2"/>
      <c r="G12" s="46"/>
      <c r="H12" s="55"/>
      <c r="I12" s="46"/>
      <c r="J12" s="97"/>
      <c r="K12" s="33"/>
      <c r="L12" s="46"/>
      <c r="M12" s="97"/>
      <c r="N12" s="55"/>
      <c r="O12" s="46"/>
      <c r="P12" s="97"/>
      <c r="Q12" s="46"/>
      <c r="R12" s="55"/>
      <c r="S12" s="2"/>
      <c r="T12" s="36"/>
      <c r="U12" s="33"/>
      <c r="V12" s="11"/>
    </row>
    <row r="13" spans="1:22" ht="18">
      <c r="A13" s="1">
        <f>ROW()</f>
        <v>13</v>
      </c>
      <c r="B13" s="105" t="s">
        <v>8</v>
      </c>
      <c r="C13" s="2"/>
      <c r="D13" s="36"/>
      <c r="E13" s="2"/>
      <c r="F13" s="2"/>
      <c r="G13" s="46"/>
      <c r="H13" s="55"/>
      <c r="I13" s="46"/>
      <c r="J13" s="97"/>
      <c r="K13" s="33"/>
      <c r="L13" s="46"/>
      <c r="M13" s="97"/>
      <c r="N13" s="55"/>
      <c r="O13" s="46"/>
      <c r="P13" s="97"/>
      <c r="Q13" s="46"/>
      <c r="R13" s="55"/>
      <c r="S13" s="2"/>
      <c r="T13" s="36"/>
      <c r="U13" s="33"/>
      <c r="V13" s="11"/>
    </row>
    <row r="14" spans="1:22" ht="12.75">
      <c r="A14" s="1">
        <f>ROW()</f>
        <v>14</v>
      </c>
      <c r="B14" s="106"/>
      <c r="C14" s="2"/>
      <c r="D14" s="50"/>
      <c r="E14" s="47"/>
      <c r="F14" s="47"/>
      <c r="G14" s="47"/>
      <c r="H14" s="56"/>
      <c r="I14" s="47"/>
      <c r="J14" s="98"/>
      <c r="K14" s="55"/>
      <c r="L14" s="47"/>
      <c r="M14" s="98"/>
      <c r="N14" s="56"/>
      <c r="O14" s="47"/>
      <c r="P14" s="98"/>
      <c r="Q14" s="47"/>
      <c r="R14" s="56"/>
      <c r="S14" s="46"/>
      <c r="T14" s="97"/>
      <c r="U14" s="33"/>
      <c r="V14" s="11"/>
    </row>
    <row r="15" spans="1:22" ht="12.75">
      <c r="A15" s="1">
        <f>ROW()</f>
        <v>15</v>
      </c>
      <c r="B15" s="107" t="s">
        <v>200</v>
      </c>
      <c r="C15" s="2"/>
      <c r="D15" s="50"/>
      <c r="E15" s="47"/>
      <c r="F15" s="47"/>
      <c r="G15" s="47"/>
      <c r="H15" s="56"/>
      <c r="I15" s="47"/>
      <c r="J15" s="98"/>
      <c r="K15" s="55"/>
      <c r="L15" s="47"/>
      <c r="M15" s="98"/>
      <c r="N15" s="56"/>
      <c r="O15" s="47"/>
      <c r="P15" s="98"/>
      <c r="Q15" s="47"/>
      <c r="R15" s="56"/>
      <c r="S15" s="46"/>
      <c r="T15" s="97"/>
      <c r="U15" s="33"/>
      <c r="V15" s="11"/>
    </row>
    <row r="16" spans="1:22" ht="12.75">
      <c r="A16" s="1">
        <f>ROW()</f>
        <v>16</v>
      </c>
      <c r="B16" s="25" t="s">
        <v>214</v>
      </c>
      <c r="C16" s="2"/>
      <c r="D16" s="80">
        <f>'Fuels Costs before Interest'!AA18</f>
        <v>219198054.9344625</v>
      </c>
      <c r="E16" s="283">
        <f>+'Data Inputs - 2011'!O67</f>
        <v>202660380.39771125</v>
      </c>
      <c r="F16" s="284">
        <f>D16-E16</f>
        <v>16537674.53675124</v>
      </c>
      <c r="G16" s="89">
        <f>+IF(OR(E16=0,D16="NA",E16="NA"),"NA",F16/E16)</f>
        <v>0.08160289892033583</v>
      </c>
      <c r="H16" s="63">
        <f>+F16/F$32</f>
        <v>0.4122006203450825</v>
      </c>
      <c r="I16" s="89"/>
      <c r="J16" s="84">
        <f>+H16*J$32</f>
        <v>714430.2371883004</v>
      </c>
      <c r="K16" s="257">
        <f>+F16+J16</f>
        <v>17252104.773939542</v>
      </c>
      <c r="L16" s="279"/>
      <c r="M16" s="304">
        <f>+H16*M$32</f>
        <v>-1653767.4378523864</v>
      </c>
      <c r="N16" s="101">
        <f>+K16+M16</f>
        <v>15598337.336087156</v>
      </c>
      <c r="O16" s="92"/>
      <c r="P16" s="102">
        <f>F16/($F$32-($F$24*((1814317632-'AA Calculation'!$T$24)/1814317632)))</f>
        <v>0.45509410295987024</v>
      </c>
      <c r="Q16" s="92">
        <f>P16*$Q$32</f>
        <v>1623158.6715830895</v>
      </c>
      <c r="R16" s="101">
        <f>N16+Q16</f>
        <v>17221496.007670246</v>
      </c>
      <c r="S16" s="46"/>
      <c r="T16" s="281">
        <f>+'Data Inputs - 2012'!O8</f>
        <v>4256431755.700877</v>
      </c>
      <c r="U16" s="251">
        <f>+ROUND(R16/T16*100,3)</f>
        <v>0.405</v>
      </c>
      <c r="V16" s="64"/>
    </row>
    <row r="17" spans="1:22" ht="12.75">
      <c r="A17" s="1">
        <f>ROW()</f>
        <v>17</v>
      </c>
      <c r="B17" s="25"/>
      <c r="C17" s="2"/>
      <c r="D17" s="80"/>
      <c r="E17" s="283"/>
      <c r="F17" s="284"/>
      <c r="G17" s="89"/>
      <c r="H17" s="63"/>
      <c r="I17" s="89"/>
      <c r="J17" s="84"/>
      <c r="K17" s="257"/>
      <c r="L17" s="279"/>
      <c r="M17" s="280"/>
      <c r="N17" s="101"/>
      <c r="O17" s="92"/>
      <c r="P17" s="100"/>
      <c r="Q17" s="92"/>
      <c r="R17" s="101"/>
      <c r="S17" s="46"/>
      <c r="T17" s="281"/>
      <c r="U17" s="55"/>
      <c r="V17" s="64"/>
    </row>
    <row r="18" spans="1:22" ht="12.75">
      <c r="A18" s="1">
        <f>ROW()</f>
        <v>18</v>
      </c>
      <c r="B18" s="25" t="s">
        <v>13</v>
      </c>
      <c r="C18" s="2"/>
      <c r="D18" s="80">
        <f>'Fuels Costs before Interest'!AA20</f>
        <v>12515823.477015216</v>
      </c>
      <c r="E18" s="283">
        <f>+'Data Inputs - 2011'!O68</f>
        <v>11642824.991060976</v>
      </c>
      <c r="F18" s="284">
        <f aca="true" t="shared" si="0" ref="F18:F26">D18-E18</f>
        <v>872998.48595424</v>
      </c>
      <c r="G18" s="89">
        <f aca="true" t="shared" si="1" ref="G18:G27">+IF(OR(E18=0,D18="NA",E18="NA"),"NA",F18/E18)</f>
        <v>0.07498167211346927</v>
      </c>
      <c r="H18" s="63">
        <f aca="true" t="shared" si="2" ref="H18:H26">+F18/F$32</f>
        <v>0.021759438829865054</v>
      </c>
      <c r="I18" s="89"/>
      <c r="J18" s="84">
        <f aca="true" t="shared" si="3" ref="J18:J25">+H18*J$32</f>
        <v>37713.67697431041</v>
      </c>
      <c r="K18" s="257">
        <f aca="true" t="shared" si="4" ref="K18:K26">+F18+J18</f>
        <v>910712.1629285504</v>
      </c>
      <c r="L18" s="279"/>
      <c r="M18" s="304">
        <f aca="true" t="shared" si="5" ref="M18:M26">+H18*M$32</f>
        <v>-87299.84776016594</v>
      </c>
      <c r="N18" s="101">
        <f aca="true" t="shared" si="6" ref="N18:N26">+K18+M18</f>
        <v>823412.3151683845</v>
      </c>
      <c r="O18" s="92"/>
      <c r="P18" s="102">
        <f>F18/($F$32-($F$24*((1814317632-'AA Calculation'!$T$24)/1814317632)))</f>
        <v>0.02402372001987149</v>
      </c>
      <c r="Q18" s="92">
        <f aca="true" t="shared" si="7" ref="Q18:Q29">P18*$Q$32</f>
        <v>85684.05791313267</v>
      </c>
      <c r="R18" s="101">
        <f aca="true" t="shared" si="8" ref="R18:R29">N18+Q18</f>
        <v>909096.3730815172</v>
      </c>
      <c r="S18" s="46"/>
      <c r="T18" s="281">
        <f>+'Data Inputs - 2012'!O9</f>
        <v>223726062.41267404</v>
      </c>
      <c r="U18" s="251">
        <f aca="true" t="shared" si="9" ref="U18:U27">+ROUND(R18/T18*100,3)</f>
        <v>0.406</v>
      </c>
      <c r="V18" s="64"/>
    </row>
    <row r="19" spans="1:22" ht="12.75">
      <c r="A19" s="1">
        <f>ROW()</f>
        <v>19</v>
      </c>
      <c r="B19" s="25" t="s">
        <v>14</v>
      </c>
      <c r="C19" s="2"/>
      <c r="D19" s="80">
        <f>'Fuels Costs before Interest'!AA21</f>
        <v>130577992.73626198</v>
      </c>
      <c r="E19" s="283">
        <f>+'Data Inputs - 2011'!O69</f>
        <v>121004068.67422535</v>
      </c>
      <c r="F19" s="284">
        <f t="shared" si="0"/>
        <v>9573924.062036633</v>
      </c>
      <c r="G19" s="89">
        <f t="shared" si="1"/>
        <v>0.079120678890659</v>
      </c>
      <c r="H19" s="63">
        <f t="shared" si="2"/>
        <v>0.23862952610043697</v>
      </c>
      <c r="I19" s="89"/>
      <c r="J19" s="84">
        <f t="shared" si="3"/>
        <v>413595.0809325384</v>
      </c>
      <c r="K19" s="257">
        <f t="shared" si="4"/>
        <v>9987519.142969172</v>
      </c>
      <c r="L19" s="279"/>
      <c r="M19" s="304">
        <f>+H19*M$32</f>
        <v>-957392.3970436277</v>
      </c>
      <c r="N19" s="101">
        <f t="shared" si="6"/>
        <v>9030126.745925546</v>
      </c>
      <c r="O19" s="92"/>
      <c r="P19" s="102">
        <f>F19/($F$32-($F$24*((1814317632-'AA Calculation'!$T$24)/1814317632)))</f>
        <v>0.2634612486257334</v>
      </c>
      <c r="Q19" s="92">
        <f>P19*$Q$32</f>
        <v>939672.4931210026</v>
      </c>
      <c r="R19" s="101">
        <f t="shared" si="8"/>
        <v>9969799.239046548</v>
      </c>
      <c r="S19" s="46"/>
      <c r="T19" s="281">
        <f>+'Data Inputs - 2012'!O10</f>
        <v>2439459240.788627</v>
      </c>
      <c r="U19" s="251">
        <f t="shared" si="9"/>
        <v>0.409</v>
      </c>
      <c r="V19" s="64"/>
    </row>
    <row r="20" spans="1:22" ht="12.75">
      <c r="A20" s="1">
        <f>ROW()</f>
        <v>20</v>
      </c>
      <c r="B20" s="25" t="s">
        <v>15</v>
      </c>
      <c r="C20" s="2"/>
      <c r="D20" s="80">
        <f>'Fuels Costs before Interest'!AA22</f>
        <v>20265428.684315845</v>
      </c>
      <c r="E20" s="283">
        <f>+'Data Inputs - 2011'!O70</f>
        <v>18840283.95522</v>
      </c>
      <c r="F20" s="284">
        <f t="shared" si="0"/>
        <v>1425144.7290958464</v>
      </c>
      <c r="G20" s="89">
        <f t="shared" si="1"/>
        <v>0.07564348459307522</v>
      </c>
      <c r="H20" s="63">
        <f t="shared" si="2"/>
        <v>0.035521653307988836</v>
      </c>
      <c r="I20" s="89"/>
      <c r="J20" s="84">
        <f t="shared" si="3"/>
        <v>61566.48472993933</v>
      </c>
      <c r="K20" s="257">
        <f t="shared" si="4"/>
        <v>1486711.2138257858</v>
      </c>
      <c r="L20" s="279"/>
      <c r="M20" s="304">
        <f t="shared" si="5"/>
        <v>-142514.47154605007</v>
      </c>
      <c r="N20" s="101">
        <f t="shared" si="6"/>
        <v>1344196.7422797356</v>
      </c>
      <c r="O20" s="92"/>
      <c r="P20" s="102">
        <f>F20/($F$32-($F$24*((1814317632-'AA Calculation'!$T$24)/1814317632)))</f>
        <v>0.03921802673251008</v>
      </c>
      <c r="Q20" s="92">
        <f t="shared" si="7"/>
        <v>139876.74144585518</v>
      </c>
      <c r="R20" s="101">
        <f t="shared" si="8"/>
        <v>1484073.4837255909</v>
      </c>
      <c r="S20" s="46"/>
      <c r="T20" s="281">
        <f>+'Data Inputs - 2012'!O11</f>
        <v>397470793.6852397</v>
      </c>
      <c r="U20" s="251">
        <f t="shared" si="9"/>
        <v>0.373</v>
      </c>
      <c r="V20" s="64"/>
    </row>
    <row r="21" spans="1:22" ht="12.75">
      <c r="A21" s="1">
        <f>ROW()</f>
        <v>21</v>
      </c>
      <c r="B21" s="25" t="s">
        <v>16</v>
      </c>
      <c r="C21" s="2"/>
      <c r="D21" s="80">
        <f>'Fuels Costs before Interest'!AA23</f>
        <v>12746757.719808144</v>
      </c>
      <c r="E21" s="283">
        <f>+'Data Inputs - 2011'!O71</f>
        <v>11847476.528370118</v>
      </c>
      <c r="F21" s="284">
        <f t="shared" si="0"/>
        <v>899281.1914380267</v>
      </c>
      <c r="G21" s="89">
        <f t="shared" si="1"/>
        <v>0.07590487217126757</v>
      </c>
      <c r="H21" s="63">
        <f t="shared" si="2"/>
        <v>0.022414533805926437</v>
      </c>
      <c r="I21" s="89"/>
      <c r="J21" s="84">
        <f t="shared" si="3"/>
        <v>38849.09413776976</v>
      </c>
      <c r="K21" s="257">
        <f t="shared" si="4"/>
        <v>938130.2855757965</v>
      </c>
      <c r="L21" s="279"/>
      <c r="M21" s="304">
        <f t="shared" si="5"/>
        <v>-89928.11828339813</v>
      </c>
      <c r="N21" s="101">
        <f t="shared" si="6"/>
        <v>848202.1672923984</v>
      </c>
      <c r="O21" s="92"/>
      <c r="P21" s="102">
        <f>F21/($F$32-($F$24*((1814317632-'AA Calculation'!$T$24)/1814317632)))</f>
        <v>0.02474698399806392</v>
      </c>
      <c r="Q21" s="92">
        <f t="shared" si="7"/>
        <v>88263.68307287736</v>
      </c>
      <c r="R21" s="101">
        <f t="shared" si="8"/>
        <v>936465.8503652757</v>
      </c>
      <c r="S21" s="46"/>
      <c r="T21" s="281">
        <f>+'Data Inputs - 2012'!O12</f>
        <v>257632430.4810586</v>
      </c>
      <c r="U21" s="251">
        <f t="shared" si="9"/>
        <v>0.363</v>
      </c>
      <c r="V21" s="64"/>
    </row>
    <row r="22" spans="1:22" ht="12.75">
      <c r="A22" s="1">
        <f>ROW()</f>
        <v>22</v>
      </c>
      <c r="B22" s="25" t="s">
        <v>17</v>
      </c>
      <c r="C22" s="2"/>
      <c r="D22" s="80">
        <f>'Fuels Costs before Interest'!AA24</f>
        <v>24258921.24642794</v>
      </c>
      <c r="E22" s="283">
        <f>+'Data Inputs - 2011'!O72</f>
        <v>22594774.327586178</v>
      </c>
      <c r="F22" s="284">
        <f t="shared" si="0"/>
        <v>1664146.9188417606</v>
      </c>
      <c r="G22" s="89">
        <f t="shared" si="1"/>
        <v>0.0736518495256661</v>
      </c>
      <c r="H22" s="63">
        <f t="shared" si="2"/>
        <v>0.04147876962795072</v>
      </c>
      <c r="I22" s="89"/>
      <c r="J22" s="84">
        <f t="shared" si="3"/>
        <v>71891.41830686046</v>
      </c>
      <c r="K22" s="257">
        <f t="shared" si="4"/>
        <v>1736038.337148621</v>
      </c>
      <c r="L22" s="279"/>
      <c r="M22" s="304">
        <f t="shared" si="5"/>
        <v>-166414.69029197155</v>
      </c>
      <c r="N22" s="101">
        <f t="shared" si="6"/>
        <v>1569623.6468566493</v>
      </c>
      <c r="O22" s="92"/>
      <c r="P22" s="102">
        <f>F22/($F$32-($F$24*((1814317632-'AA Calculation'!$T$24)/1814317632)))</f>
        <v>0.045795038930092534</v>
      </c>
      <c r="Q22" s="92">
        <f t="shared" si="7"/>
        <v>163334.6028248128</v>
      </c>
      <c r="R22" s="101">
        <f t="shared" si="8"/>
        <v>1732958.249681462</v>
      </c>
      <c r="S22" s="46"/>
      <c r="T22" s="281">
        <f>+'Data Inputs - 2012'!O13</f>
        <v>505845218.6190918</v>
      </c>
      <c r="U22" s="251">
        <f t="shared" si="9"/>
        <v>0.343</v>
      </c>
      <c r="V22" s="64"/>
    </row>
    <row r="23" spans="1:25" ht="12.75">
      <c r="A23" s="1">
        <f>ROW()</f>
        <v>23</v>
      </c>
      <c r="B23" s="25" t="s">
        <v>18</v>
      </c>
      <c r="C23" s="2"/>
      <c r="D23" s="80">
        <f>'Fuels Costs before Interest'!AA25</f>
        <v>43341694.5501335</v>
      </c>
      <c r="E23" s="283">
        <f>+'Data Inputs - 2011'!O73</f>
        <v>40288849.615301</v>
      </c>
      <c r="F23" s="284">
        <f t="shared" si="0"/>
        <v>3052844.9348324984</v>
      </c>
      <c r="G23" s="89">
        <f>+IF(OR(E23=0,D23="NA",E23="NA"),"NA",F23/E23)</f>
        <v>0.07577394152433385</v>
      </c>
      <c r="H23" s="63">
        <f t="shared" si="2"/>
        <v>0.07609199063379943</v>
      </c>
      <c r="I23" s="89"/>
      <c r="J23" s="84">
        <f>+H23*J$32</f>
        <v>131883.3990864075</v>
      </c>
      <c r="K23" s="257">
        <f t="shared" si="4"/>
        <v>3184728.333918906</v>
      </c>
      <c r="L23" s="279"/>
      <c r="M23" s="304">
        <f t="shared" si="5"/>
        <v>-305284.4905623818</v>
      </c>
      <c r="N23" s="101">
        <f t="shared" si="6"/>
        <v>2879443.843356524</v>
      </c>
      <c r="O23" s="92"/>
      <c r="P23" s="102">
        <f>F23/($F$32-($F$24*((1814317632-'AA Calculation'!$T$24)/1814317632)))</f>
        <v>0.08401010214620586</v>
      </c>
      <c r="Q23" s="92">
        <f t="shared" si="7"/>
        <v>299634.1304189991</v>
      </c>
      <c r="R23" s="101">
        <f t="shared" si="8"/>
        <v>3179077.9737755232</v>
      </c>
      <c r="S23" s="46"/>
      <c r="T23" s="281">
        <f>+'Data Inputs - 2012'!O14</f>
        <v>936296194.4995408</v>
      </c>
      <c r="U23" s="251">
        <f t="shared" si="9"/>
        <v>0.34</v>
      </c>
      <c r="V23" s="64"/>
      <c r="Y23" s="241"/>
    </row>
    <row r="24" spans="1:25" ht="12.75">
      <c r="A24" s="1">
        <f>ROW()</f>
        <v>24</v>
      </c>
      <c r="B24" s="25" t="s">
        <v>40</v>
      </c>
      <c r="C24" s="2"/>
      <c r="D24" s="80">
        <f>'Fuels Costs before Interest'!AA26</f>
        <v>61387589.81750847</v>
      </c>
      <c r="E24" s="283">
        <f>+'Data Inputs - 2011'!O74</f>
        <v>56390491.24169999</v>
      </c>
      <c r="F24" s="284">
        <f t="shared" si="0"/>
        <v>4997098.575808473</v>
      </c>
      <c r="G24" s="89">
        <f t="shared" si="1"/>
        <v>0.08861597878957982</v>
      </c>
      <c r="H24" s="63">
        <f t="shared" si="2"/>
        <v>0.12455240477107742</v>
      </c>
      <c r="I24" s="89"/>
      <c r="J24" s="84">
        <f t="shared" si="3"/>
        <v>215875.4734732791</v>
      </c>
      <c r="K24" s="257">
        <f t="shared" si="4"/>
        <v>5212974.049281752</v>
      </c>
      <c r="L24" s="279"/>
      <c r="M24" s="304">
        <f t="shared" si="5"/>
        <v>-499709.8527997773</v>
      </c>
      <c r="N24" s="101">
        <f t="shared" si="6"/>
        <v>4713264.196481975</v>
      </c>
      <c r="O24" s="92"/>
      <c r="P24" s="102">
        <f>(F24-(F24*((1814317632-T24)/1814317632)))/(F32-(F24*((1814317632-'AA Calculation'!$T$24)/1814317632)))</f>
        <v>0.03345356999816284</v>
      </c>
      <c r="Q24" s="92">
        <f t="shared" si="7"/>
        <v>119316.97616991108</v>
      </c>
      <c r="R24" s="101">
        <f>N24-Q32+Q24</f>
        <v>1265937.1290875196</v>
      </c>
      <c r="S24" s="46"/>
      <c r="T24" s="281">
        <f>+'Data Inputs - 2012'!O15</f>
        <v>441378432</v>
      </c>
      <c r="U24" s="251">
        <f t="shared" si="9"/>
        <v>0.287</v>
      </c>
      <c r="V24" s="64"/>
      <c r="Y24" s="241"/>
    </row>
    <row r="25" spans="1:25" ht="12.75">
      <c r="A25" s="1">
        <f>ROW()</f>
        <v>25</v>
      </c>
      <c r="B25" s="25" t="s">
        <v>19</v>
      </c>
      <c r="C25" s="2"/>
      <c r="D25" s="80">
        <f>'Fuels Costs before Interest'!AA27</f>
        <v>9383912.55216067</v>
      </c>
      <c r="E25" s="283">
        <f>+'Data Inputs - 2011'!O75</f>
        <v>8683294.549439998</v>
      </c>
      <c r="F25" s="284">
        <f t="shared" si="0"/>
        <v>700618.0027206708</v>
      </c>
      <c r="G25" s="89">
        <f t="shared" si="1"/>
        <v>0.08068573497438883</v>
      </c>
      <c r="H25" s="63">
        <f t="shared" si="2"/>
        <v>0.017462864848658815</v>
      </c>
      <c r="I25" s="89"/>
      <c r="J25" s="84">
        <f t="shared" si="3"/>
        <v>30266.811984343945</v>
      </c>
      <c r="K25" s="257">
        <f t="shared" si="4"/>
        <v>730884.8147050147</v>
      </c>
      <c r="L25" s="279"/>
      <c r="M25" s="304">
        <f t="shared" si="5"/>
        <v>-70061.79960173735</v>
      </c>
      <c r="N25" s="101">
        <f t="shared" si="6"/>
        <v>660823.0151032773</v>
      </c>
      <c r="O25" s="92"/>
      <c r="P25" s="102">
        <f>F25/($F$32-($F$24*((1814317632-'AA Calculation'!$T$24)/1814317632)))</f>
        <v>0.019280045737817247</v>
      </c>
      <c r="Q25" s="92">
        <f t="shared" si="7"/>
        <v>68765.06029043443</v>
      </c>
      <c r="R25" s="101">
        <f t="shared" si="8"/>
        <v>729588.0753937117</v>
      </c>
      <c r="S25" s="46"/>
      <c r="T25" s="281">
        <f>+'Data Inputs - 2012'!O16</f>
        <v>194541877.01025978</v>
      </c>
      <c r="U25" s="251">
        <f t="shared" si="9"/>
        <v>0.375</v>
      </c>
      <c r="V25" s="64"/>
      <c r="Y25" s="241"/>
    </row>
    <row r="26" spans="1:25" ht="15">
      <c r="A26" s="1">
        <f>ROW()</f>
        <v>26</v>
      </c>
      <c r="B26" s="25" t="s">
        <v>213</v>
      </c>
      <c r="C26" s="2"/>
      <c r="D26" s="81">
        <f>'Fuels Costs before Interest'!AA28</f>
        <v>5836120.68616075</v>
      </c>
      <c r="E26" s="285">
        <f>+'Data Inputs - 2011'!O76</f>
        <v>5439401.739780037</v>
      </c>
      <c r="F26" s="286">
        <f t="shared" si="0"/>
        <v>396718.946380713</v>
      </c>
      <c r="G26" s="90">
        <f t="shared" si="1"/>
        <v>0.07293429780694152</v>
      </c>
      <c r="H26" s="63">
        <f t="shared" si="2"/>
        <v>0.009888197729213614</v>
      </c>
      <c r="I26" s="90"/>
      <c r="J26" s="84">
        <f>+H26*J$32</f>
        <v>17138.323186250327</v>
      </c>
      <c r="K26" s="257">
        <f t="shared" si="4"/>
        <v>413857.26956696337</v>
      </c>
      <c r="L26" s="279"/>
      <c r="M26" s="304">
        <f t="shared" si="5"/>
        <v>-39671.894258502834</v>
      </c>
      <c r="N26" s="101">
        <f t="shared" si="6"/>
        <v>374185.37530846056</v>
      </c>
      <c r="O26" s="92"/>
      <c r="P26" s="102">
        <f>F26/($F$32-($F$24*((1814317632-'AA Calculation'!$T$24)/1814317632)))</f>
        <v>0.010917160851672117</v>
      </c>
      <c r="Q26" s="92">
        <f t="shared" si="7"/>
        <v>38937.62672425044</v>
      </c>
      <c r="R26" s="101">
        <f t="shared" si="8"/>
        <v>413123.002032711</v>
      </c>
      <c r="S26" s="46"/>
      <c r="T26" s="282">
        <f>+'Data Inputs - 2012'!O17</f>
        <v>112280645.0976991</v>
      </c>
      <c r="U26" s="251">
        <f t="shared" si="9"/>
        <v>0.368</v>
      </c>
      <c r="V26" s="65"/>
      <c r="Y26" s="241"/>
    </row>
    <row r="27" spans="1:25" ht="12.75">
      <c r="A27" s="1">
        <f>ROW()</f>
        <v>27</v>
      </c>
      <c r="B27" s="26" t="s">
        <v>199</v>
      </c>
      <c r="C27" s="2"/>
      <c r="D27" s="80">
        <f>'Fuels Costs before Interest'!AA29</f>
        <v>539512296.404255</v>
      </c>
      <c r="E27" s="283">
        <f>SUM(E16:E26)</f>
        <v>499391846.0203949</v>
      </c>
      <c r="F27" s="284">
        <f>SUM(F16:F26)</f>
        <v>40120450.3838601</v>
      </c>
      <c r="G27" s="89">
        <f t="shared" si="1"/>
        <v>0.08033861726733439</v>
      </c>
      <c r="H27" s="63">
        <f>SUM(H16:H26)</f>
        <v>0.9999999999999997</v>
      </c>
      <c r="I27" s="89"/>
      <c r="J27" s="84">
        <f>SUM(J16:J26)</f>
        <v>1733209.9999999993</v>
      </c>
      <c r="K27" s="257">
        <f>SUM(K16:K26)</f>
        <v>41853660.383860104</v>
      </c>
      <c r="L27" s="279"/>
      <c r="M27" s="304">
        <f>SUM(M16:M26)</f>
        <v>-4012044.999999999</v>
      </c>
      <c r="N27" s="101">
        <f>SUM(N16:N26)</f>
        <v>37841615.38386011</v>
      </c>
      <c r="O27" s="92"/>
      <c r="P27" s="102">
        <f>SUM(P16:P26)</f>
        <v>0.9999999999999998</v>
      </c>
      <c r="Q27" s="92">
        <f t="shared" si="7"/>
        <v>3566644.0435643652</v>
      </c>
      <c r="R27" s="101">
        <f>SUM(R16:R26)</f>
        <v>37841615.38386011</v>
      </c>
      <c r="S27" s="46"/>
      <c r="T27" s="278">
        <f>SUM(T16:T26)</f>
        <v>9765062650.295067</v>
      </c>
      <c r="U27" s="251">
        <f t="shared" si="9"/>
        <v>0.388</v>
      </c>
      <c r="V27" s="66"/>
      <c r="Y27" s="241"/>
    </row>
    <row r="28" spans="1:25" ht="12.75">
      <c r="A28" s="1">
        <f>ROW()</f>
        <v>28</v>
      </c>
      <c r="B28" s="25"/>
      <c r="C28" s="2"/>
      <c r="D28" s="80"/>
      <c r="E28" s="283"/>
      <c r="F28" s="284"/>
      <c r="G28" s="89"/>
      <c r="H28" s="63"/>
      <c r="I28" s="89"/>
      <c r="J28" s="84"/>
      <c r="K28" s="257"/>
      <c r="L28" s="279"/>
      <c r="M28" s="280"/>
      <c r="N28" s="101"/>
      <c r="O28" s="92"/>
      <c r="P28" s="100"/>
      <c r="Q28" s="92"/>
      <c r="R28" s="101"/>
      <c r="S28" s="46"/>
      <c r="T28" s="281"/>
      <c r="U28" s="55"/>
      <c r="V28" s="66"/>
      <c r="Y28" s="241"/>
    </row>
    <row r="29" spans="1:25" ht="12.75">
      <c r="A29" s="1">
        <f>ROW()</f>
        <v>29</v>
      </c>
      <c r="B29" s="26" t="s">
        <v>211</v>
      </c>
      <c r="C29" s="2"/>
      <c r="D29" s="84">
        <f>'Fuels Costs before Interest'!AA34</f>
        <v>9978731.463960001</v>
      </c>
      <c r="E29" s="287">
        <f>+'Data Inputs - 2011'!O80+'Data Inputs - 2011'!O83</f>
        <v>9978731.463960001</v>
      </c>
      <c r="F29" s="284">
        <f>D29-E29</f>
        <v>0</v>
      </c>
      <c r="G29" s="89">
        <f>+IF(OR(E29=0,D29="NA",E29="NA"),"NA",F29/E29)</f>
        <v>0</v>
      </c>
      <c r="H29" s="63">
        <f>+F29/F$32</f>
        <v>0</v>
      </c>
      <c r="I29" s="89"/>
      <c r="J29" s="84">
        <f>+H29*J$32</f>
        <v>0</v>
      </c>
      <c r="K29" s="257">
        <f>+F29+J29</f>
        <v>0</v>
      </c>
      <c r="L29" s="279"/>
      <c r="M29" s="280">
        <f>+H29*M$32</f>
        <v>0</v>
      </c>
      <c r="N29" s="101">
        <f>+K29+M29</f>
        <v>0</v>
      </c>
      <c r="O29" s="92"/>
      <c r="P29" s="102">
        <f>F29/($F$32-($F$24*((1814317632-'AA Calculation'!$T$24)/1814317632)))</f>
        <v>0</v>
      </c>
      <c r="Q29" s="92">
        <f t="shared" si="7"/>
        <v>0</v>
      </c>
      <c r="R29" s="101">
        <f t="shared" si="8"/>
        <v>0</v>
      </c>
      <c r="S29" s="46"/>
      <c r="T29" s="281">
        <f>+'Data Inputs - 2012'!O21</f>
        <v>179928000</v>
      </c>
      <c r="U29" s="251">
        <f>+ROUND(R29/T29*100,3)</f>
        <v>0</v>
      </c>
      <c r="V29" s="66"/>
      <c r="Y29" s="241"/>
    </row>
    <row r="30" spans="1:25" ht="12.75">
      <c r="A30" s="1">
        <f>ROW()</f>
        <v>30</v>
      </c>
      <c r="B30" s="25"/>
      <c r="C30" s="2"/>
      <c r="D30" s="83"/>
      <c r="E30" s="288"/>
      <c r="F30" s="284"/>
      <c r="G30" s="89"/>
      <c r="H30" s="63"/>
      <c r="I30" s="89"/>
      <c r="J30" s="100"/>
      <c r="K30" s="101"/>
      <c r="L30" s="92"/>
      <c r="M30" s="280"/>
      <c r="N30" s="101"/>
      <c r="O30" s="92"/>
      <c r="P30" s="100"/>
      <c r="Q30" s="92"/>
      <c r="R30" s="101"/>
      <c r="S30" s="46"/>
      <c r="T30" s="281"/>
      <c r="U30" s="33"/>
      <c r="V30" s="66"/>
      <c r="Y30" s="67"/>
    </row>
    <row r="31" spans="1:22" ht="12.75">
      <c r="A31" s="1">
        <f>ROW()</f>
        <v>31</v>
      </c>
      <c r="B31" s="25"/>
      <c r="C31" s="2"/>
      <c r="D31" s="83"/>
      <c r="E31" s="288"/>
      <c r="F31" s="284"/>
      <c r="G31" s="89"/>
      <c r="H31" s="63"/>
      <c r="I31" s="89"/>
      <c r="J31" s="102"/>
      <c r="K31" s="63"/>
      <c r="L31" s="89"/>
      <c r="M31" s="102"/>
      <c r="N31" s="101"/>
      <c r="O31" s="92"/>
      <c r="P31" s="100"/>
      <c r="Q31" s="92"/>
      <c r="R31" s="101"/>
      <c r="S31" s="46"/>
      <c r="T31" s="281"/>
      <c r="U31" s="33"/>
      <c r="V31" s="66"/>
    </row>
    <row r="32" spans="1:22" ht="12.75">
      <c r="A32" s="1">
        <f>ROW()</f>
        <v>32</v>
      </c>
      <c r="B32" s="35" t="s">
        <v>42</v>
      </c>
      <c r="C32" s="2"/>
      <c r="D32" s="84">
        <f>D27+D29*'Monthly Fuel Cost Allocation'!A2</f>
        <v>539512296.404255</v>
      </c>
      <c r="E32" s="279">
        <f>+E27+E29*'Monthly Fuel Cost Allocation'!A2</f>
        <v>499391846.0203949</v>
      </c>
      <c r="F32" s="284">
        <f>D32-E32</f>
        <v>40120450.38386011</v>
      </c>
      <c r="G32" s="89">
        <f>+IF(OR(E32=0,D32="NA",E32="NA"),"NA",F32/E32)</f>
        <v>0.08033861726733442</v>
      </c>
      <c r="H32" s="63">
        <f>+H27+H29</f>
        <v>0.9999999999999997</v>
      </c>
      <c r="I32" s="89"/>
      <c r="J32" s="272">
        <v>1733210</v>
      </c>
      <c r="K32" s="257">
        <f>+K27+K29</f>
        <v>41853660.383860104</v>
      </c>
      <c r="L32" s="279"/>
      <c r="M32" s="304">
        <v>-4012045</v>
      </c>
      <c r="N32" s="101">
        <f>+N27+N29</f>
        <v>37841615.38386011</v>
      </c>
      <c r="O32" s="92"/>
      <c r="P32" s="102">
        <f>P27+P29</f>
        <v>0.9999999999999998</v>
      </c>
      <c r="Q32" s="92">
        <f>(N24/1814317632)*(1814317632-T24)</f>
        <v>3566644.043564366</v>
      </c>
      <c r="R32" s="101">
        <f>R27+R29</f>
        <v>37841615.38386011</v>
      </c>
      <c r="S32" s="46"/>
      <c r="T32" s="281">
        <f>+T27+T29</f>
        <v>9944990650.295067</v>
      </c>
      <c r="U32" s="251">
        <f>+ROUND(R32/T32*100,3)</f>
        <v>0.381</v>
      </c>
      <c r="V32" s="66"/>
    </row>
    <row r="33" spans="1:22" ht="12.75">
      <c r="A33" s="1">
        <f>ROW()</f>
        <v>33</v>
      </c>
      <c r="B33" s="26"/>
      <c r="C33" s="2"/>
      <c r="D33" s="83"/>
      <c r="E33" s="288"/>
      <c r="F33" s="284"/>
      <c r="G33" s="89"/>
      <c r="H33" s="63"/>
      <c r="I33" s="89"/>
      <c r="J33" s="102"/>
      <c r="K33" s="63"/>
      <c r="L33" s="89"/>
      <c r="M33" s="102"/>
      <c r="N33" s="63"/>
      <c r="O33" s="89"/>
      <c r="P33" s="102"/>
      <c r="Q33" s="89"/>
      <c r="R33" s="63" t="s">
        <v>292</v>
      </c>
      <c r="S33" s="46"/>
      <c r="T33" s="281"/>
      <c r="U33" s="33"/>
      <c r="V33" s="66"/>
    </row>
    <row r="34" spans="1:22" ht="12.75">
      <c r="A34" s="1">
        <f>ROW()</f>
        <v>34</v>
      </c>
      <c r="B34" s="26"/>
      <c r="C34" s="2"/>
      <c r="D34" s="84"/>
      <c r="E34" s="279"/>
      <c r="F34" s="284"/>
      <c r="G34" s="89"/>
      <c r="H34" s="63"/>
      <c r="I34" s="89"/>
      <c r="J34" s="102"/>
      <c r="K34" s="63"/>
      <c r="L34" s="89"/>
      <c r="M34" s="102"/>
      <c r="N34" s="63"/>
      <c r="O34" s="89"/>
      <c r="P34" s="102"/>
      <c r="Q34" s="89"/>
      <c r="R34" s="63"/>
      <c r="S34" s="46"/>
      <c r="T34" s="281"/>
      <c r="U34" s="33"/>
      <c r="V34" s="66"/>
    </row>
    <row r="35" spans="1:22" ht="14.25">
      <c r="A35" s="1">
        <f>ROW()</f>
        <v>35</v>
      </c>
      <c r="B35" s="25" t="s">
        <v>31</v>
      </c>
      <c r="C35" s="2"/>
      <c r="D35" s="85">
        <f>+D32</f>
        <v>539512296.404255</v>
      </c>
      <c r="E35" s="289">
        <f>+E32</f>
        <v>499391846.0203949</v>
      </c>
      <c r="F35" s="284">
        <f>D35-E35</f>
        <v>40120450.38386011</v>
      </c>
      <c r="G35" s="89">
        <f>+IF(OR(E35=0,D35="NA",E35="NA"),"NA",F35/E35)</f>
        <v>0.08033861726733442</v>
      </c>
      <c r="H35" s="63"/>
      <c r="I35" s="89"/>
      <c r="J35" s="102"/>
      <c r="K35" s="63"/>
      <c r="L35" s="89"/>
      <c r="M35" s="102"/>
      <c r="N35" s="63"/>
      <c r="O35" s="89"/>
      <c r="P35" s="102"/>
      <c r="Q35" s="89"/>
      <c r="R35" s="63"/>
      <c r="S35" s="46"/>
      <c r="T35" s="281"/>
      <c r="U35" s="33"/>
      <c r="V35" s="66"/>
    </row>
    <row r="36" spans="1:22" ht="12.75">
      <c r="A36" s="1">
        <f>ROW()</f>
        <v>36</v>
      </c>
      <c r="B36" s="25"/>
      <c r="C36" s="2"/>
      <c r="D36" s="48"/>
      <c r="E36" s="49"/>
      <c r="F36" s="51"/>
      <c r="G36" s="94"/>
      <c r="H36" s="57"/>
      <c r="I36" s="91"/>
      <c r="J36" s="103"/>
      <c r="K36" s="57"/>
      <c r="L36" s="91"/>
      <c r="M36" s="103"/>
      <c r="N36" s="57"/>
      <c r="O36" s="91"/>
      <c r="P36" s="103"/>
      <c r="Q36" s="94"/>
      <c r="R36" s="57"/>
      <c r="S36" s="2"/>
      <c r="T36" s="111"/>
      <c r="U36" s="109"/>
      <c r="V36" s="11"/>
    </row>
    <row r="37" spans="1:22" ht="13.5" thickBot="1">
      <c r="A37" s="1">
        <f>ROW()</f>
        <v>37</v>
      </c>
      <c r="B37" s="27"/>
      <c r="C37" s="12"/>
      <c r="D37" s="12"/>
      <c r="E37" s="12"/>
      <c r="F37" s="12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12"/>
      <c r="T37" s="12"/>
      <c r="U37" s="12"/>
      <c r="V37" s="13"/>
    </row>
    <row r="38" spans="1:2" ht="13.5" thickTop="1">
      <c r="A38" s="1">
        <f>ROW()</f>
        <v>38</v>
      </c>
      <c r="B38" s="2"/>
    </row>
    <row r="39" spans="1:5" ht="15">
      <c r="A39" s="1">
        <f>ROW()</f>
        <v>39</v>
      </c>
      <c r="B39" s="242" t="s">
        <v>223</v>
      </c>
      <c r="D39" s="219"/>
      <c r="E39" s="220"/>
    </row>
    <row r="40" ht="12.75">
      <c r="E40" s="218"/>
    </row>
    <row r="41" spans="2:9" ht="12.75">
      <c r="B41" s="40"/>
      <c r="D41" s="252">
        <f>+D32</f>
        <v>539512296.404255</v>
      </c>
      <c r="E41" s="252">
        <f>'Data Inputs - 2011'!O158</f>
        <v>510121269.688535</v>
      </c>
      <c r="F41" s="253">
        <f>+D41-E41</f>
        <v>29391026.715720057</v>
      </c>
      <c r="G41" s="40">
        <f>+IF(OR(E41=0,D41="NA",E41="NA"),"NA",F41/E41)</f>
        <v>0.057615764058741074</v>
      </c>
      <c r="H41" s="40"/>
      <c r="I41" s="40"/>
    </row>
    <row r="42" ht="12.75">
      <c r="B42" s="40"/>
    </row>
  </sheetData>
  <sheetProtection/>
  <mergeCells count="7">
    <mergeCell ref="D2:U2"/>
    <mergeCell ref="D4:U4"/>
    <mergeCell ref="T10:U10"/>
    <mergeCell ref="D10:H10"/>
    <mergeCell ref="J10:K10"/>
    <mergeCell ref="M10:N10"/>
    <mergeCell ref="P10:R10"/>
  </mergeCells>
  <conditionalFormatting sqref="G16:G36 T14:U34">
    <cfRule type="cellIs" priority="1" dxfId="0" operator="lessThan" stopIfTrue="1">
      <formula>0</formula>
    </cfRule>
  </conditionalFormatting>
  <printOptions/>
  <pageMargins left="0.27" right="0.2" top="0.41" bottom="0.44" header="0.28" footer="0.24"/>
  <pageSetup fitToHeight="1" fitToWidth="1" horizontalDpi="600" verticalDpi="600" orientation="landscape" paperSize="17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111"/>
  <sheetViews>
    <sheetView view="pageBreakPreview" zoomScale="60" zoomScalePageLayoutView="0" workbookViewId="0" topLeftCell="A1">
      <selection activeCell="M27" sqref="M26:M27"/>
    </sheetView>
  </sheetViews>
  <sheetFormatPr defaultColWidth="9.140625" defaultRowHeight="12.75"/>
  <cols>
    <col min="1" max="1" width="8.140625" style="1" bestFit="1" customWidth="1"/>
    <col min="2" max="2" width="53.7109375" style="0" customWidth="1"/>
    <col min="3" max="3" width="13.57421875" style="0" customWidth="1"/>
    <col min="4" max="4" width="16.57421875" style="0" bestFit="1" customWidth="1"/>
    <col min="5" max="5" width="12.00390625" style="0" customWidth="1"/>
    <col min="6" max="6" width="18.7109375" style="0" bestFit="1" customWidth="1"/>
    <col min="7" max="7" width="10.7109375" style="0" customWidth="1"/>
    <col min="8" max="8" width="18.8515625" style="53" customWidth="1"/>
    <col min="9" max="9" width="15.28125" style="0" customWidth="1"/>
    <col min="10" max="10" width="15.00390625" style="0" bestFit="1" customWidth="1"/>
    <col min="11" max="11" width="19.00390625" style="0" bestFit="1" customWidth="1"/>
    <col min="12" max="12" width="15.00390625" style="0" bestFit="1" customWidth="1"/>
    <col min="13" max="15" width="15.140625" style="0" bestFit="1" customWidth="1"/>
    <col min="16" max="16" width="19.00390625" style="0" bestFit="1" customWidth="1"/>
    <col min="17" max="17" width="19.140625" style="0" bestFit="1" customWidth="1"/>
    <col min="18" max="18" width="14.7109375" style="0" bestFit="1" customWidth="1"/>
    <col min="19" max="19" width="15.140625" style="0" bestFit="1" customWidth="1"/>
    <col min="20" max="20" width="19.28125" style="0" customWidth="1"/>
    <col min="21" max="21" width="14.57421875" style="0" customWidth="1"/>
    <col min="22" max="22" width="24.140625" style="0" bestFit="1" customWidth="1"/>
    <col min="23" max="23" width="14.57421875" style="0" customWidth="1"/>
    <col min="24" max="24" width="32.28125" style="0" bestFit="1" customWidth="1"/>
    <col min="25" max="25" width="12.8515625" style="0" customWidth="1"/>
    <col min="27" max="27" width="20.140625" style="0" bestFit="1" customWidth="1"/>
    <col min="28" max="28" width="12.00390625" style="0" bestFit="1" customWidth="1"/>
    <col min="29" max="29" width="1.57421875" style="0" customWidth="1"/>
    <col min="30" max="30" width="2.140625" style="0" customWidth="1"/>
    <col min="31" max="31" width="8.7109375" style="0" customWidth="1"/>
    <col min="32" max="32" width="1.7109375" style="0" customWidth="1"/>
    <col min="33" max="33" width="20.00390625" style="0" bestFit="1" customWidth="1"/>
    <col min="34" max="34" width="19.00390625" style="0" bestFit="1" customWidth="1"/>
    <col min="35" max="35" width="17.8515625" style="0" customWidth="1"/>
    <col min="36" max="36" width="8.28125" style="53" customWidth="1"/>
  </cols>
  <sheetData>
    <row r="1" spans="1:31" ht="12.75">
      <c r="A1" s="116"/>
      <c r="B1" s="77"/>
      <c r="C1" s="77"/>
      <c r="D1" s="77"/>
      <c r="E1" s="77"/>
      <c r="F1" s="77"/>
      <c r="G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60">
      <c r="A2" s="117" t="s">
        <v>23</v>
      </c>
      <c r="B2" s="247"/>
      <c r="C2" s="506" t="s">
        <v>228</v>
      </c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247"/>
      <c r="AD2" s="77"/>
      <c r="AE2" s="77"/>
    </row>
    <row r="3" spans="1:34" ht="20.25" customHeight="1">
      <c r="A3" s="116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H3" s="59"/>
    </row>
    <row r="4" spans="1:31" ht="20.25" customHeight="1">
      <c r="A4" s="116">
        <f>+A3+1</f>
        <v>2</v>
      </c>
      <c r="B4" s="246"/>
      <c r="C4" s="508" t="s">
        <v>236</v>
      </c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/>
      <c r="AA4" s="509"/>
      <c r="AB4" s="509"/>
      <c r="AC4" s="246"/>
      <c r="AD4" s="77"/>
      <c r="AE4" s="77"/>
    </row>
    <row r="5" spans="1:31" ht="15.75">
      <c r="A5" s="116">
        <f>+A4+1</f>
        <v>3</v>
      </c>
      <c r="B5" s="118" t="s">
        <v>1</v>
      </c>
      <c r="C5" s="189" t="s">
        <v>2</v>
      </c>
      <c r="D5" s="189" t="s">
        <v>3</v>
      </c>
      <c r="E5" s="189" t="s">
        <v>4</v>
      </c>
      <c r="F5" s="189" t="s">
        <v>5</v>
      </c>
      <c r="G5" s="189" t="s">
        <v>6</v>
      </c>
      <c r="H5" s="236" t="s">
        <v>21</v>
      </c>
      <c r="I5" s="189" t="s">
        <v>20</v>
      </c>
      <c r="J5" s="189" t="s">
        <v>22</v>
      </c>
      <c r="K5" s="189" t="s">
        <v>24</v>
      </c>
      <c r="L5" s="189" t="s">
        <v>26</v>
      </c>
      <c r="M5" s="189" t="s">
        <v>27</v>
      </c>
      <c r="N5" s="189" t="s">
        <v>70</v>
      </c>
      <c r="O5" s="189" t="s">
        <v>34</v>
      </c>
      <c r="P5" s="189" t="s">
        <v>39</v>
      </c>
      <c r="Q5" s="189" t="s">
        <v>127</v>
      </c>
      <c r="R5" s="189" t="s">
        <v>71</v>
      </c>
      <c r="S5" s="189" t="s">
        <v>72</v>
      </c>
      <c r="T5" s="189" t="s">
        <v>73</v>
      </c>
      <c r="U5" s="189" t="s">
        <v>125</v>
      </c>
      <c r="V5" s="189" t="s">
        <v>126</v>
      </c>
      <c r="W5" s="189" t="s">
        <v>128</v>
      </c>
      <c r="X5" s="189" t="s">
        <v>130</v>
      </c>
      <c r="Y5" s="189" t="s">
        <v>132</v>
      </c>
      <c r="Z5" s="189" t="s">
        <v>129</v>
      </c>
      <c r="AA5" s="189" t="s">
        <v>188</v>
      </c>
      <c r="AB5" s="189" t="s">
        <v>189</v>
      </c>
      <c r="AC5" s="77"/>
      <c r="AD5" s="77"/>
      <c r="AE5" s="77"/>
    </row>
    <row r="6" spans="1:34" ht="12.75">
      <c r="A6" s="116">
        <f>+A5+1</f>
        <v>4</v>
      </c>
      <c r="B6" s="77"/>
      <c r="C6" s="77"/>
      <c r="D6" s="77"/>
      <c r="E6" s="77"/>
      <c r="F6" s="77"/>
      <c r="G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H6" s="61"/>
    </row>
    <row r="7" spans="1:31" ht="27" customHeight="1">
      <c r="A7" s="116">
        <f>+A6+1</f>
        <v>5</v>
      </c>
      <c r="B7" s="118" t="s">
        <v>7</v>
      </c>
      <c r="C7" s="118"/>
      <c r="D7" s="118"/>
      <c r="E7" s="118" t="s">
        <v>258</v>
      </c>
      <c r="F7" s="118"/>
      <c r="G7" s="118" t="s">
        <v>259</v>
      </c>
      <c r="H7" s="237"/>
      <c r="I7" s="118"/>
      <c r="J7" s="119" t="s">
        <v>133</v>
      </c>
      <c r="K7" s="119" t="s">
        <v>134</v>
      </c>
      <c r="L7" s="119" t="s">
        <v>190</v>
      </c>
      <c r="M7" s="118" t="s">
        <v>135</v>
      </c>
      <c r="N7" s="118" t="s">
        <v>136</v>
      </c>
      <c r="O7" s="119" t="s">
        <v>137</v>
      </c>
      <c r="P7" s="119" t="s">
        <v>138</v>
      </c>
      <c r="Q7" s="119" t="s">
        <v>139</v>
      </c>
      <c r="R7" s="118" t="s">
        <v>140</v>
      </c>
      <c r="S7" s="118" t="s">
        <v>141</v>
      </c>
      <c r="T7" s="118" t="s">
        <v>142</v>
      </c>
      <c r="U7" s="119" t="s">
        <v>143</v>
      </c>
      <c r="V7" s="119" t="s">
        <v>191</v>
      </c>
      <c r="W7" s="119" t="s">
        <v>192</v>
      </c>
      <c r="X7" s="118" t="s">
        <v>193</v>
      </c>
      <c r="Y7" s="118" t="s">
        <v>194</v>
      </c>
      <c r="Z7" s="119" t="str">
        <f>"Y / Y (line "&amp;A29&amp;")"</f>
        <v>Y / Y (line 29)</v>
      </c>
      <c r="AA7" s="119" t="str">
        <f>"Z x X (line "&amp;A29&amp;")"</f>
        <v>Z x X (line 29)</v>
      </c>
      <c r="AB7" s="118" t="s">
        <v>195</v>
      </c>
      <c r="AC7" s="77"/>
      <c r="AD7" s="77"/>
      <c r="AE7" s="77"/>
    </row>
    <row r="8" spans="1:31" ht="6" customHeight="1" thickBot="1">
      <c r="A8" s="116">
        <f>+A7+1</f>
        <v>6</v>
      </c>
      <c r="B8" s="118"/>
      <c r="C8" s="118"/>
      <c r="D8" s="118"/>
      <c r="E8" s="118"/>
      <c r="F8" s="118"/>
      <c r="G8" s="118"/>
      <c r="H8" s="237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77"/>
      <c r="AD8" s="77"/>
      <c r="AE8" s="77"/>
    </row>
    <row r="9" spans="1:31" ht="13.5" thickTop="1">
      <c r="A9" s="116">
        <f>ROW()</f>
        <v>9</v>
      </c>
      <c r="B9" s="120"/>
      <c r="C9" s="121"/>
      <c r="D9" s="121"/>
      <c r="E9" s="121"/>
      <c r="F9" s="121"/>
      <c r="G9" s="121"/>
      <c r="H9" s="54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2"/>
      <c r="AD9" s="123"/>
      <c r="AE9" s="123"/>
    </row>
    <row r="10" spans="1:31" ht="54" customHeight="1">
      <c r="A10" s="116">
        <f>ROW()</f>
        <v>10</v>
      </c>
      <c r="B10" s="124"/>
      <c r="C10" s="481" t="s">
        <v>46</v>
      </c>
      <c r="D10" s="482"/>
      <c r="E10" s="482"/>
      <c r="F10" s="482"/>
      <c r="G10" s="482"/>
      <c r="H10" s="483"/>
      <c r="I10" s="484" t="s">
        <v>37</v>
      </c>
      <c r="J10" s="485"/>
      <c r="K10" s="485"/>
      <c r="L10" s="485"/>
      <c r="M10" s="485"/>
      <c r="N10" s="485"/>
      <c r="O10" s="485"/>
      <c r="P10" s="485"/>
      <c r="Q10" s="485"/>
      <c r="R10" s="485"/>
      <c r="S10" s="485"/>
      <c r="T10" s="485"/>
      <c r="U10" s="485"/>
      <c r="V10" s="485"/>
      <c r="W10" s="485"/>
      <c r="X10" s="486"/>
      <c r="Y10" s="510" t="s">
        <v>35</v>
      </c>
      <c r="Z10" s="511"/>
      <c r="AA10" s="511"/>
      <c r="AB10" s="512"/>
      <c r="AC10" s="125"/>
      <c r="AD10" s="123"/>
      <c r="AE10" s="123"/>
    </row>
    <row r="11" spans="1:31" ht="30" customHeight="1">
      <c r="A11" s="116">
        <f>ROW()</f>
        <v>11</v>
      </c>
      <c r="B11" s="124"/>
      <c r="C11" s="490" t="s">
        <v>293</v>
      </c>
      <c r="D11" s="489" t="s">
        <v>79</v>
      </c>
      <c r="E11" s="487"/>
      <c r="F11" s="489" t="s">
        <v>80</v>
      </c>
      <c r="G11" s="487"/>
      <c r="H11" s="503" t="s">
        <v>9</v>
      </c>
      <c r="I11" s="489" t="s">
        <v>45</v>
      </c>
      <c r="J11" s="499" t="s">
        <v>112</v>
      </c>
      <c r="K11" s="495"/>
      <c r="L11" s="495"/>
      <c r="M11" s="495"/>
      <c r="N11" s="500"/>
      <c r="O11" s="499" t="s">
        <v>113</v>
      </c>
      <c r="P11" s="495"/>
      <c r="Q11" s="495"/>
      <c r="R11" s="495"/>
      <c r="S11" s="500"/>
      <c r="T11" s="520" t="s">
        <v>185</v>
      </c>
      <c r="U11" s="520" t="s">
        <v>29</v>
      </c>
      <c r="V11" s="68"/>
      <c r="W11" s="68"/>
      <c r="X11" s="487" t="s">
        <v>186</v>
      </c>
      <c r="Y11" s="517" t="s">
        <v>36</v>
      </c>
      <c r="Z11" s="513" t="s">
        <v>25</v>
      </c>
      <c r="AA11" s="513" t="s">
        <v>38</v>
      </c>
      <c r="AB11" s="496" t="s">
        <v>10</v>
      </c>
      <c r="AC11" s="125"/>
      <c r="AD11" s="123"/>
      <c r="AE11" s="123"/>
    </row>
    <row r="12" spans="1:31" ht="18" customHeight="1">
      <c r="A12" s="116">
        <f>ROW()</f>
        <v>12</v>
      </c>
      <c r="B12" s="124"/>
      <c r="C12" s="501"/>
      <c r="D12" s="490" t="s">
        <v>77</v>
      </c>
      <c r="E12" s="490" t="s">
        <v>78</v>
      </c>
      <c r="F12" s="490" t="s">
        <v>81</v>
      </c>
      <c r="G12" s="490" t="s">
        <v>78</v>
      </c>
      <c r="H12" s="504"/>
      <c r="I12" s="492"/>
      <c r="J12" s="489" t="s">
        <v>43</v>
      </c>
      <c r="K12" s="495" t="s">
        <v>74</v>
      </c>
      <c r="L12" s="495"/>
      <c r="M12" s="495"/>
      <c r="N12" s="487" t="s">
        <v>44</v>
      </c>
      <c r="O12" s="489" t="s">
        <v>43</v>
      </c>
      <c r="P12" s="495" t="s">
        <v>74</v>
      </c>
      <c r="Q12" s="495"/>
      <c r="R12" s="495"/>
      <c r="S12" s="487" t="s">
        <v>44</v>
      </c>
      <c r="T12" s="521"/>
      <c r="U12" s="521"/>
      <c r="V12" s="69"/>
      <c r="W12" s="69"/>
      <c r="X12" s="516"/>
      <c r="Y12" s="518"/>
      <c r="Z12" s="514"/>
      <c r="AA12" s="514"/>
      <c r="AB12" s="497"/>
      <c r="AC12" s="125"/>
      <c r="AD12" s="123"/>
      <c r="AE12" s="123"/>
    </row>
    <row r="13" spans="1:31" ht="49.5" customHeight="1">
      <c r="A13" s="116">
        <f>ROW()</f>
        <v>13</v>
      </c>
      <c r="B13" s="126" t="s">
        <v>8</v>
      </c>
      <c r="C13" s="502"/>
      <c r="D13" s="491"/>
      <c r="E13" s="491" t="s">
        <v>78</v>
      </c>
      <c r="F13" s="491"/>
      <c r="G13" s="491" t="s">
        <v>78</v>
      </c>
      <c r="H13" s="505"/>
      <c r="I13" s="493"/>
      <c r="J13" s="494"/>
      <c r="K13" s="41" t="s">
        <v>75</v>
      </c>
      <c r="L13" s="42" t="s">
        <v>76</v>
      </c>
      <c r="M13" s="43" t="s">
        <v>47</v>
      </c>
      <c r="N13" s="488"/>
      <c r="O13" s="494"/>
      <c r="P13" s="41" t="s">
        <v>75</v>
      </c>
      <c r="Q13" s="42" t="s">
        <v>76</v>
      </c>
      <c r="R13" s="43" t="s">
        <v>47</v>
      </c>
      <c r="S13" s="488"/>
      <c r="T13" s="522"/>
      <c r="U13" s="522"/>
      <c r="V13" s="127" t="s">
        <v>184</v>
      </c>
      <c r="W13" s="127" t="s">
        <v>174</v>
      </c>
      <c r="X13" s="488"/>
      <c r="Y13" s="519"/>
      <c r="Z13" s="515"/>
      <c r="AA13" s="515"/>
      <c r="AB13" s="498"/>
      <c r="AC13" s="125"/>
      <c r="AD13" s="123"/>
      <c r="AE13" s="123"/>
    </row>
    <row r="14" spans="1:31" ht="12.75" customHeight="1">
      <c r="A14" s="116">
        <f>ROW()</f>
        <v>14</v>
      </c>
      <c r="B14" s="128"/>
      <c r="C14" s="129"/>
      <c r="D14" s="129"/>
      <c r="E14" s="129"/>
      <c r="F14" s="129"/>
      <c r="G14" s="129"/>
      <c r="H14" s="238"/>
      <c r="I14" s="4"/>
      <c r="J14" s="4"/>
      <c r="K14" s="4"/>
      <c r="L14" s="6"/>
      <c r="M14" s="5"/>
      <c r="N14" s="5"/>
      <c r="O14" s="4"/>
      <c r="P14" s="4"/>
      <c r="Q14" s="6"/>
      <c r="R14" s="5"/>
      <c r="S14" s="5"/>
      <c r="T14" s="6"/>
      <c r="U14" s="6"/>
      <c r="V14" s="6"/>
      <c r="W14" s="6"/>
      <c r="X14" s="5"/>
      <c r="Y14" s="6"/>
      <c r="Z14" s="6"/>
      <c r="AA14" s="6"/>
      <c r="AB14" s="5"/>
      <c r="AC14" s="125"/>
      <c r="AD14" s="123"/>
      <c r="AE14" s="123"/>
    </row>
    <row r="15" spans="1:31" ht="12.75">
      <c r="A15" s="116">
        <f>ROW()</f>
        <v>15</v>
      </c>
      <c r="B15" s="130" t="s">
        <v>202</v>
      </c>
      <c r="C15" s="129"/>
      <c r="D15" s="131"/>
      <c r="E15" s="131"/>
      <c r="F15" s="129"/>
      <c r="G15" s="129"/>
      <c r="H15" s="238"/>
      <c r="I15" s="4"/>
      <c r="J15" s="4"/>
      <c r="K15" s="4"/>
      <c r="L15" s="6"/>
      <c r="M15" s="5"/>
      <c r="N15" s="5"/>
      <c r="O15" s="4"/>
      <c r="P15" s="4"/>
      <c r="Q15" s="6"/>
      <c r="R15" s="5"/>
      <c r="S15" s="5"/>
      <c r="T15" s="6"/>
      <c r="U15" s="6"/>
      <c r="V15" s="6"/>
      <c r="W15" s="6"/>
      <c r="X15" s="5"/>
      <c r="Y15" s="6"/>
      <c r="Z15" s="6"/>
      <c r="AA15" s="6"/>
      <c r="AB15" s="5"/>
      <c r="AC15" s="125"/>
      <c r="AD15" s="123"/>
      <c r="AE15" s="123"/>
    </row>
    <row r="16" spans="1:31" ht="12.75">
      <c r="A16" s="116">
        <f>ROW()</f>
        <v>16</v>
      </c>
      <c r="B16" s="132" t="s">
        <v>11</v>
      </c>
      <c r="C16" s="133"/>
      <c r="D16" s="134"/>
      <c r="E16" s="134"/>
      <c r="F16" s="135"/>
      <c r="G16" s="135"/>
      <c r="H16" s="192">
        <f>+'Monthly Energy Allocators'!N5</f>
        <v>4082691690.987084</v>
      </c>
      <c r="I16" s="136"/>
      <c r="J16" s="136"/>
      <c r="K16" s="136"/>
      <c r="L16" s="137"/>
      <c r="M16" s="138"/>
      <c r="N16" s="138"/>
      <c r="O16" s="136"/>
      <c r="P16" s="136"/>
      <c r="Q16" s="137"/>
      <c r="R16" s="138"/>
      <c r="S16" s="138"/>
      <c r="T16" s="137"/>
      <c r="U16" s="137"/>
      <c r="V16" s="137"/>
      <c r="W16" s="137"/>
      <c r="X16" s="138"/>
      <c r="Y16" s="137"/>
      <c r="Z16" s="137"/>
      <c r="AA16" s="137"/>
      <c r="AB16" s="70"/>
      <c r="AC16" s="125"/>
      <c r="AD16" s="123"/>
      <c r="AE16" s="123"/>
    </row>
    <row r="17" spans="1:31" ht="15">
      <c r="A17" s="116">
        <f>ROW()</f>
        <v>17</v>
      </c>
      <c r="B17" s="132" t="s">
        <v>12</v>
      </c>
      <c r="C17" s="133"/>
      <c r="D17" s="134"/>
      <c r="E17" s="134"/>
      <c r="F17" s="139"/>
      <c r="G17" s="139"/>
      <c r="H17" s="199">
        <f>+'Monthly Energy Allocators'!N6</f>
        <v>191941939.00049776</v>
      </c>
      <c r="I17" s="14"/>
      <c r="J17" s="14"/>
      <c r="K17" s="14"/>
      <c r="L17" s="15"/>
      <c r="M17" s="16"/>
      <c r="N17" s="16"/>
      <c r="O17" s="14"/>
      <c r="P17" s="14"/>
      <c r="Q17" s="15"/>
      <c r="R17" s="16"/>
      <c r="S17" s="16"/>
      <c r="T17" s="15"/>
      <c r="U17" s="15"/>
      <c r="V17" s="15"/>
      <c r="W17" s="15"/>
      <c r="X17" s="16"/>
      <c r="Y17" s="15"/>
      <c r="Z17" s="15"/>
      <c r="AA17" s="15"/>
      <c r="AB17" s="71"/>
      <c r="AC17" s="125"/>
      <c r="AD17" s="123"/>
      <c r="AE17" s="123"/>
    </row>
    <row r="18" spans="1:31" ht="15">
      <c r="A18" s="116">
        <f>ROW()</f>
        <v>18</v>
      </c>
      <c r="B18" s="132" t="s">
        <v>212</v>
      </c>
      <c r="C18" s="140">
        <v>0.98905</v>
      </c>
      <c r="D18" s="266">
        <v>3361452.2330940217</v>
      </c>
      <c r="E18" s="142">
        <f>+D18/D$29</f>
        <v>0.5156095439531457</v>
      </c>
      <c r="F18" s="135">
        <f>+'Monthly Energy Allocators'!N57</f>
        <v>4677147453.074588</v>
      </c>
      <c r="G18" s="142">
        <f>+F18/F$29</f>
        <v>0.4074781052157548</v>
      </c>
      <c r="H18" s="192">
        <f>+H16+H17</f>
        <v>4274633629.9875817</v>
      </c>
      <c r="I18" s="17">
        <f>'Monthly Fuel Cost Allocation'!N75</f>
        <v>179693608.464495</v>
      </c>
      <c r="J18" s="17">
        <f>+J$29*$G18</f>
        <v>11203331.01367481</v>
      </c>
      <c r="K18" s="17">
        <f>+$G18*K$29</f>
        <v>6152593.427133386</v>
      </c>
      <c r="L18" s="18">
        <f>+$E18*L$29</f>
        <v>3813524.419333881</v>
      </c>
      <c r="M18" s="19">
        <f>+K18+L18</f>
        <v>9966117.846467268</v>
      </c>
      <c r="N18" s="19">
        <f>+J18+K18+L18</f>
        <v>21169448.860142075</v>
      </c>
      <c r="O18" s="17">
        <f>+O$29*$G18</f>
        <v>13379143.871964341</v>
      </c>
      <c r="P18" s="17">
        <f>+$G18*P$29</f>
        <v>4013743.1615893017</v>
      </c>
      <c r="Q18" s="18">
        <f>+$E18*Q$29</f>
        <v>2176654.3189879707</v>
      </c>
      <c r="R18" s="19">
        <f>+P18+Q18</f>
        <v>6190397.480577272</v>
      </c>
      <c r="S18" s="19">
        <f>+O18+P18+Q18</f>
        <v>19569541.35254161</v>
      </c>
      <c r="T18" s="18">
        <f>+I18+N18+S18</f>
        <v>220432598.67717868</v>
      </c>
      <c r="U18" s="305">
        <f>+G18*U$29</f>
        <v>-184255.8944850913</v>
      </c>
      <c r="V18" s="305">
        <f>+G18*V$29</f>
        <v>-896451.8314746591</v>
      </c>
      <c r="W18" s="18">
        <f>+G18*W$29</f>
        <v>2099551.910022251</v>
      </c>
      <c r="X18" s="19">
        <f>+T18+U18+V18+W18</f>
        <v>221451442.8612412</v>
      </c>
      <c r="Y18" s="18">
        <f>+X18*C18</f>
        <v>219026549.5619106</v>
      </c>
      <c r="Z18" s="23">
        <f>+Y18/Y$29</f>
        <v>0.40628926605635324</v>
      </c>
      <c r="AA18" s="18">
        <f>+Z18*X$29</f>
        <v>219198054.9344625</v>
      </c>
      <c r="AB18" s="72">
        <f>+AA18/H18*100</f>
        <v>5.127879343781312</v>
      </c>
      <c r="AC18" s="125"/>
      <c r="AD18" s="123"/>
      <c r="AE18" s="143"/>
    </row>
    <row r="19" spans="1:31" ht="15">
      <c r="A19" s="116">
        <f>ROW()</f>
        <v>19</v>
      </c>
      <c r="B19" s="132"/>
      <c r="C19" s="140"/>
      <c r="D19" s="266"/>
      <c r="E19" s="141"/>
      <c r="F19" s="135"/>
      <c r="G19" s="141"/>
      <c r="H19" s="192"/>
      <c r="I19" s="17"/>
      <c r="J19" s="17"/>
      <c r="K19" s="17"/>
      <c r="L19" s="18"/>
      <c r="M19" s="19"/>
      <c r="N19" s="19"/>
      <c r="O19" s="17"/>
      <c r="P19" s="17"/>
      <c r="Q19" s="18"/>
      <c r="R19" s="19"/>
      <c r="S19" s="19"/>
      <c r="T19" s="18"/>
      <c r="U19" s="305"/>
      <c r="V19" s="305"/>
      <c r="W19" s="18"/>
      <c r="X19" s="19"/>
      <c r="Y19" s="18"/>
      <c r="Z19" s="18"/>
      <c r="AA19" s="18"/>
      <c r="AB19" s="72"/>
      <c r="AC19" s="125"/>
      <c r="AD19" s="123"/>
      <c r="AE19" s="144"/>
    </row>
    <row r="20" spans="1:31" ht="15">
      <c r="A20" s="116">
        <f>ROW()</f>
        <v>20</v>
      </c>
      <c r="B20" s="132" t="s">
        <v>13</v>
      </c>
      <c r="C20" s="290">
        <v>1.0231849611395256</v>
      </c>
      <c r="D20" s="266">
        <v>161273.54452226893</v>
      </c>
      <c r="E20" s="142">
        <f aca="true" t="shared" si="0" ref="E20:G28">+D20/D$29</f>
        <v>0.02473757560026246</v>
      </c>
      <c r="F20" s="135">
        <f>+'Monthly Energy Allocators'!N58</f>
        <v>259633762.68799108</v>
      </c>
      <c r="G20" s="142">
        <f t="shared" si="0"/>
        <v>0.022619572021530702</v>
      </c>
      <c r="H20" s="192">
        <f>+'Monthly Energy Allocators'!N8</f>
        <v>238778199.16039735</v>
      </c>
      <c r="I20" s="17">
        <f>'Monthly Fuel Cost Allocation'!N76</f>
        <v>9949753.165429147</v>
      </c>
      <c r="J20" s="17">
        <f aca="true" t="shared" si="1" ref="J20:J27">+J$29*$G20</f>
        <v>621909.6179675371</v>
      </c>
      <c r="K20" s="17">
        <f aca="true" t="shared" si="2" ref="K20:K28">+$G20*K$29</f>
        <v>341537.44302543986</v>
      </c>
      <c r="L20" s="18">
        <f aca="true" t="shared" si="3" ref="L20:L28">+$E20*L$29</f>
        <v>182962.76656060395</v>
      </c>
      <c r="M20" s="19">
        <f aca="true" t="shared" si="4" ref="M20:M28">+K20+L20</f>
        <v>524500.2095860438</v>
      </c>
      <c r="N20" s="19">
        <f aca="true" t="shared" si="5" ref="N20:N28">+J20+K20+L20</f>
        <v>1146409.827553581</v>
      </c>
      <c r="O20" s="17">
        <f aca="true" t="shared" si="6" ref="O20:O28">+O$29*$G20</f>
        <v>742691.458816123</v>
      </c>
      <c r="P20" s="17">
        <f aca="true" t="shared" si="7" ref="P20:P28">+$G20*P$29</f>
        <v>222807.43764483684</v>
      </c>
      <c r="Q20" s="18">
        <f aca="true" t="shared" si="8" ref="Q20:Q28">+$E20*Q$29</f>
        <v>104430.08940209943</v>
      </c>
      <c r="R20" s="19">
        <f aca="true" t="shared" si="9" ref="R20:R28">+P20+Q20</f>
        <v>327237.5270469363</v>
      </c>
      <c r="S20" s="19">
        <f aca="true" t="shared" si="10" ref="S20:S28">+O20+P20+Q20</f>
        <v>1069928.9858630593</v>
      </c>
      <c r="T20" s="18">
        <f aca="true" t="shared" si="11" ref="T20:T28">+I20+N20+S20</f>
        <v>12166091.978845788</v>
      </c>
      <c r="U20" s="305">
        <f aca="true" t="shared" si="12" ref="U20:U28">+G20*U$29</f>
        <v>-10228.253794127882</v>
      </c>
      <c r="V20" s="305">
        <f aca="true" t="shared" si="13" ref="V20:V28">+G20*V$29</f>
        <v>-49763.05844736747</v>
      </c>
      <c r="W20" s="18">
        <f aca="true" t="shared" si="14" ref="W20:W28">+G20*W$29</f>
        <v>116548.50907030882</v>
      </c>
      <c r="X20" s="19">
        <f aca="true" t="shared" si="15" ref="X20:X28">+T20+U20+V20+W20</f>
        <v>12222649.175674602</v>
      </c>
      <c r="Y20" s="18">
        <f aca="true" t="shared" si="16" ref="Y20:Y28">+X20*C20</f>
        <v>12506030.821834672</v>
      </c>
      <c r="Z20" s="23">
        <f aca="true" t="shared" si="17" ref="Z20:Z28">+Y20/Y$29</f>
        <v>0.02319840263221201</v>
      </c>
      <c r="AA20" s="18">
        <f aca="true" t="shared" si="18" ref="AA20:AA27">+Z20*X$29</f>
        <v>12515823.477015216</v>
      </c>
      <c r="AB20" s="72">
        <f aca="true" t="shared" si="19" ref="AB20:AB29">+AA20/H20*100</f>
        <v>5.241610633225276</v>
      </c>
      <c r="AC20" s="125"/>
      <c r="AD20" s="123"/>
      <c r="AE20" s="143"/>
    </row>
    <row r="21" spans="1:31" ht="15">
      <c r="A21" s="116">
        <f>ROW()</f>
        <v>21</v>
      </c>
      <c r="B21" s="132" t="s">
        <v>14</v>
      </c>
      <c r="C21" s="290">
        <v>1.0716964160107805</v>
      </c>
      <c r="D21" s="266">
        <v>1320065.7071633604</v>
      </c>
      <c r="E21" s="142">
        <f t="shared" si="0"/>
        <v>0.20248345954694674</v>
      </c>
      <c r="F21" s="135">
        <f>+'Monthly Energy Allocators'!N59</f>
        <v>2594316104.2375216</v>
      </c>
      <c r="G21" s="142">
        <f t="shared" si="0"/>
        <v>0.22601960299338153</v>
      </c>
      <c r="H21" s="192">
        <f>+'Monthly Energy Allocators'!N9</f>
        <v>2447988441.7201157</v>
      </c>
      <c r="I21" s="17">
        <f>'Monthly Fuel Cost Allocation'!N77</f>
        <v>99555044.72321737</v>
      </c>
      <c r="J21" s="17">
        <f t="shared" si="1"/>
        <v>6214253.957457332</v>
      </c>
      <c r="K21" s="17">
        <f t="shared" si="2"/>
        <v>3412715.2010880853</v>
      </c>
      <c r="L21" s="18">
        <f t="shared" si="3"/>
        <v>1497597.6037473315</v>
      </c>
      <c r="M21" s="19">
        <f t="shared" si="4"/>
        <v>4910312.804835416</v>
      </c>
      <c r="N21" s="19">
        <f t="shared" si="5"/>
        <v>11124566.76229275</v>
      </c>
      <c r="O21" s="17">
        <f t="shared" si="6"/>
        <v>7421131.951940262</v>
      </c>
      <c r="P21" s="17">
        <f t="shared" si="7"/>
        <v>2226339.585582078</v>
      </c>
      <c r="Q21" s="18">
        <f t="shared" si="8"/>
        <v>854787.313220366</v>
      </c>
      <c r="R21" s="19">
        <f t="shared" si="9"/>
        <v>3081126.898802444</v>
      </c>
      <c r="S21" s="19">
        <f t="shared" si="10"/>
        <v>10502258.850742707</v>
      </c>
      <c r="T21" s="18">
        <f t="shared" si="11"/>
        <v>121181870.33625282</v>
      </c>
      <c r="U21" s="305">
        <f t="shared" si="12"/>
        <v>-102202.90019916522</v>
      </c>
      <c r="V21" s="305">
        <f t="shared" si="13"/>
        <v>-497243.1265854386</v>
      </c>
      <c r="W21" s="18">
        <f t="shared" si="14"/>
        <v>1164577.6376523636</v>
      </c>
      <c r="X21" s="19">
        <f t="shared" si="15"/>
        <v>121747001.94712059</v>
      </c>
      <c r="Y21" s="18">
        <f t="shared" si="16"/>
        <v>130475825.64678665</v>
      </c>
      <c r="Z21" s="23">
        <f t="shared" si="17"/>
        <v>0.24202968793582466</v>
      </c>
      <c r="AA21" s="18">
        <f t="shared" si="18"/>
        <v>130577992.73626198</v>
      </c>
      <c r="AB21" s="72">
        <f t="shared" si="19"/>
        <v>5.334093515756528</v>
      </c>
      <c r="AC21" s="125"/>
      <c r="AD21" s="123"/>
      <c r="AE21" s="143"/>
    </row>
    <row r="22" spans="1:31" ht="15">
      <c r="A22" s="116">
        <f>ROW()</f>
        <v>22</v>
      </c>
      <c r="B22" s="132" t="s">
        <v>15</v>
      </c>
      <c r="C22" s="290">
        <v>0.9868926072234047</v>
      </c>
      <c r="D22" s="266">
        <v>168072.69008246972</v>
      </c>
      <c r="E22" s="142">
        <f>+D22/D$29</f>
        <v>0.025780489227608398</v>
      </c>
      <c r="F22" s="135">
        <f>+'Monthly Energy Allocators'!N60</f>
        <v>440228064.67194</v>
      </c>
      <c r="G22" s="142">
        <f t="shared" si="0"/>
        <v>0.038353141408317325</v>
      </c>
      <c r="H22" s="192">
        <f>+'Monthly Energy Allocators'!N10</f>
        <v>414892842</v>
      </c>
      <c r="I22" s="17">
        <f>'Monthly Fuel Cost Allocation'!N78</f>
        <v>16852441.699954856</v>
      </c>
      <c r="J22" s="17">
        <f t="shared" si="1"/>
        <v>1054493.316601993</v>
      </c>
      <c r="K22" s="17">
        <f t="shared" si="2"/>
        <v>579101.7547158429</v>
      </c>
      <c r="L22" s="18">
        <f t="shared" si="3"/>
        <v>190676.30994199106</v>
      </c>
      <c r="M22" s="19">
        <f t="shared" si="4"/>
        <v>769778.0646578339</v>
      </c>
      <c r="N22" s="19">
        <f t="shared" si="5"/>
        <v>1824271.381259827</v>
      </c>
      <c r="O22" s="17">
        <f t="shared" si="6"/>
        <v>1259287.7758965066</v>
      </c>
      <c r="P22" s="17">
        <f t="shared" si="7"/>
        <v>377786.3327689519</v>
      </c>
      <c r="Q22" s="18">
        <f t="shared" si="8"/>
        <v>108832.76673403848</v>
      </c>
      <c r="R22" s="19">
        <f t="shared" si="9"/>
        <v>486619.0995029904</v>
      </c>
      <c r="S22" s="19">
        <f t="shared" si="10"/>
        <v>1745906.8753994969</v>
      </c>
      <c r="T22" s="18">
        <f t="shared" si="11"/>
        <v>20422619.956614178</v>
      </c>
      <c r="U22" s="305">
        <f t="shared" si="12"/>
        <v>-17342.75360086138</v>
      </c>
      <c r="V22" s="305">
        <f t="shared" si="13"/>
        <v>-84376.91109829799</v>
      </c>
      <c r="W22" s="18">
        <f t="shared" si="14"/>
        <v>197616.53514254317</v>
      </c>
      <c r="X22" s="19">
        <f t="shared" si="15"/>
        <v>20518516.827057563</v>
      </c>
      <c r="Y22" s="18">
        <f t="shared" si="16"/>
        <v>20249572.567812137</v>
      </c>
      <c r="Z22" s="23">
        <f t="shared" si="17"/>
        <v>0.03756249638679415</v>
      </c>
      <c r="AA22" s="18">
        <f t="shared" si="18"/>
        <v>20265428.684315845</v>
      </c>
      <c r="AB22" s="72">
        <f t="shared" si="19"/>
        <v>4.884497063537154</v>
      </c>
      <c r="AC22" s="125"/>
      <c r="AD22" s="123"/>
      <c r="AE22" s="143"/>
    </row>
    <row r="23" spans="1:31" ht="15">
      <c r="A23" s="116">
        <f>ROW()</f>
        <v>23</v>
      </c>
      <c r="B23" s="132" t="s">
        <v>16</v>
      </c>
      <c r="C23" s="290">
        <v>1.0199922607718757</v>
      </c>
      <c r="D23" s="266">
        <v>101706.12641754713</v>
      </c>
      <c r="E23" s="142">
        <f t="shared" si="0"/>
        <v>0.015600593381368353</v>
      </c>
      <c r="F23" s="135">
        <f>+'Monthly Energy Allocators'!N61</f>
        <v>267970640.87952366</v>
      </c>
      <c r="G23" s="142">
        <f t="shared" si="0"/>
        <v>0.02334588979598255</v>
      </c>
      <c r="H23" s="192">
        <f>+'Monthly Energy Allocators'!N11</f>
        <v>253801982.18444976</v>
      </c>
      <c r="I23" s="17">
        <f>'Monthly Fuel Cost Allocation'!N79</f>
        <v>10256637.839428201</v>
      </c>
      <c r="J23" s="17">
        <f>+J$29*$G23</f>
        <v>641879.2269947291</v>
      </c>
      <c r="K23" s="17">
        <f>+$G23*K$29</f>
        <v>352504.2604026249</v>
      </c>
      <c r="L23" s="18">
        <f t="shared" si="3"/>
        <v>115384.2951777343</v>
      </c>
      <c r="M23" s="19">
        <f t="shared" si="4"/>
        <v>467888.5555803592</v>
      </c>
      <c r="N23" s="19">
        <f>+J23+K23+L23</f>
        <v>1109767.7825750883</v>
      </c>
      <c r="O23" s="17">
        <f t="shared" si="6"/>
        <v>766539.3904639126</v>
      </c>
      <c r="P23" s="17">
        <f t="shared" si="7"/>
        <v>229961.81713917377</v>
      </c>
      <c r="Q23" s="18">
        <f t="shared" si="8"/>
        <v>65858.16604941725</v>
      </c>
      <c r="R23" s="19">
        <f t="shared" si="9"/>
        <v>295819.983188591</v>
      </c>
      <c r="S23" s="19">
        <f t="shared" si="10"/>
        <v>1062359.3736525036</v>
      </c>
      <c r="T23" s="18">
        <f t="shared" si="11"/>
        <v>12428764.995655792</v>
      </c>
      <c r="U23" s="305">
        <f t="shared" si="12"/>
        <v>-10556.684523286165</v>
      </c>
      <c r="V23" s="305">
        <f t="shared" si="13"/>
        <v>-51360.95755116153</v>
      </c>
      <c r="W23" s="18">
        <f t="shared" si="14"/>
        <v>120290.89878674781</v>
      </c>
      <c r="X23" s="19">
        <f t="shared" si="15"/>
        <v>12487138.252368093</v>
      </c>
      <c r="Y23" s="18">
        <f t="shared" si="16"/>
        <v>12736784.3766039</v>
      </c>
      <c r="Z23" s="23">
        <f t="shared" si="17"/>
        <v>0.023626445226110352</v>
      </c>
      <c r="AA23" s="18">
        <f t="shared" si="18"/>
        <v>12746757.719808144</v>
      </c>
      <c r="AB23" s="72">
        <f t="shared" si="19"/>
        <v>5.022323943295478</v>
      </c>
      <c r="AC23" s="125"/>
      <c r="AD23" s="123"/>
      <c r="AE23" s="143"/>
    </row>
    <row r="24" spans="1:31" ht="15">
      <c r="A24" s="116">
        <f>ROW()</f>
        <v>24</v>
      </c>
      <c r="B24" s="132" t="s">
        <v>17</v>
      </c>
      <c r="C24" s="290">
        <v>1.0079264649800135</v>
      </c>
      <c r="D24" s="266">
        <v>186552.46315660368</v>
      </c>
      <c r="E24" s="142">
        <f t="shared" si="0"/>
        <v>0.028615081750835044</v>
      </c>
      <c r="F24" s="135">
        <f>+'Monthly Energy Allocators'!N62</f>
        <v>517486907.8661856</v>
      </c>
      <c r="G24" s="142">
        <f t="shared" si="0"/>
        <v>0.0450840147348056</v>
      </c>
      <c r="H24" s="192">
        <f>+'Monthly Energy Allocators'!N12</f>
        <v>491939349.6099757</v>
      </c>
      <c r="I24" s="17">
        <f>'Monthly Fuel Cost Allocation'!N80</f>
        <v>19759484.710781112</v>
      </c>
      <c r="J24" s="17">
        <f t="shared" si="1"/>
        <v>1239554.0620077734</v>
      </c>
      <c r="K24" s="17">
        <f t="shared" si="2"/>
        <v>680732.5575917222</v>
      </c>
      <c r="L24" s="18">
        <f>+$E24*L$29</f>
        <v>211641.37533490077</v>
      </c>
      <c r="M24" s="19">
        <f t="shared" si="4"/>
        <v>892373.932926623</v>
      </c>
      <c r="N24" s="19">
        <f t="shared" si="5"/>
        <v>2131927.9949343964</v>
      </c>
      <c r="O24" s="17">
        <f t="shared" si="6"/>
        <v>1480289.3989686754</v>
      </c>
      <c r="P24" s="17">
        <f t="shared" si="7"/>
        <v>444086.81969060254</v>
      </c>
      <c r="Q24" s="18">
        <f t="shared" si="8"/>
        <v>120799.04651029677</v>
      </c>
      <c r="R24" s="19">
        <f t="shared" si="9"/>
        <v>564885.8662008994</v>
      </c>
      <c r="S24" s="19">
        <f t="shared" si="10"/>
        <v>2045175.2651695749</v>
      </c>
      <c r="T24" s="18">
        <f t="shared" si="11"/>
        <v>23936587.970885083</v>
      </c>
      <c r="U24" s="305">
        <f t="shared" si="12"/>
        <v>-20386.360286872805</v>
      </c>
      <c r="V24" s="305">
        <f t="shared" si="13"/>
        <v>-99184.83241657217</v>
      </c>
      <c r="W24" s="18">
        <f t="shared" si="14"/>
        <v>232297.7063953241</v>
      </c>
      <c r="X24" s="19">
        <f t="shared" si="15"/>
        <v>24049314.484576963</v>
      </c>
      <c r="Y24" s="18">
        <f t="shared" si="16"/>
        <v>24239940.533632293</v>
      </c>
      <c r="Z24" s="23">
        <f t="shared" si="17"/>
        <v>0.0449645381729183</v>
      </c>
      <c r="AA24" s="18">
        <f>+Z24*X$29</f>
        <v>24258921.24642794</v>
      </c>
      <c r="AB24" s="72">
        <f t="shared" si="19"/>
        <v>4.931282944871383</v>
      </c>
      <c r="AC24" s="125"/>
      <c r="AD24" s="123"/>
      <c r="AE24" s="143"/>
    </row>
    <row r="25" spans="1:31" ht="15">
      <c r="A25" s="116">
        <f>ROW()</f>
        <v>25</v>
      </c>
      <c r="B25" s="132" t="s">
        <v>18</v>
      </c>
      <c r="C25" s="290">
        <v>0.975411314071792</v>
      </c>
      <c r="D25" s="266">
        <v>339444.649785057</v>
      </c>
      <c r="E25" s="142">
        <f t="shared" si="0"/>
        <v>0.05206704987502141</v>
      </c>
      <c r="F25" s="135">
        <f>+'Monthly Energy Allocators'!N63</f>
        <v>954017216.6521126</v>
      </c>
      <c r="G25" s="142">
        <f>+F25/F$29</f>
        <v>0.08311500368222659</v>
      </c>
      <c r="H25" s="192">
        <f>+'Monthly Energy Allocators'!N13</f>
        <v>915239655.05</v>
      </c>
      <c r="I25" s="17">
        <f>'Monthly Fuel Cost Allocation'!N81</f>
        <v>36498933.63803837</v>
      </c>
      <c r="J25" s="17">
        <f t="shared" si="1"/>
        <v>2285190.0176617946</v>
      </c>
      <c r="K25" s="17">
        <f t="shared" si="2"/>
        <v>1254970.0678535076</v>
      </c>
      <c r="L25" s="18">
        <f t="shared" si="3"/>
        <v>385095.59892691317</v>
      </c>
      <c r="M25" s="19">
        <f t="shared" si="4"/>
        <v>1640065.6667804208</v>
      </c>
      <c r="N25" s="19">
        <f t="shared" si="5"/>
        <v>3925255.684442215</v>
      </c>
      <c r="O25" s="17">
        <f t="shared" si="6"/>
        <v>2728999.6148248524</v>
      </c>
      <c r="P25" s="17">
        <f t="shared" si="7"/>
        <v>818699.8844474555</v>
      </c>
      <c r="Q25" s="18">
        <f>+$E25*Q$29</f>
        <v>219801.9224363428</v>
      </c>
      <c r="R25" s="19">
        <f t="shared" si="9"/>
        <v>1038501.8068837983</v>
      </c>
      <c r="S25" s="19">
        <f>+O25+P25+Q25</f>
        <v>3767501.421708651</v>
      </c>
      <c r="T25" s="18">
        <f t="shared" si="11"/>
        <v>44191690.74418923</v>
      </c>
      <c r="U25" s="305">
        <f t="shared" si="12"/>
        <v>-37583.44105505131</v>
      </c>
      <c r="V25" s="305">
        <f t="shared" si="13"/>
        <v>-182853.0081008982</v>
      </c>
      <c r="W25" s="18">
        <f t="shared" si="14"/>
        <v>428254.33440191176</v>
      </c>
      <c r="X25" s="19">
        <f t="shared" si="15"/>
        <v>44399508.6294352</v>
      </c>
      <c r="Y25" s="18">
        <f t="shared" si="16"/>
        <v>43307783.05637926</v>
      </c>
      <c r="Z25" s="23">
        <f t="shared" si="17"/>
        <v>0.08033495221331839</v>
      </c>
      <c r="AA25" s="18">
        <f t="shared" si="18"/>
        <v>43341694.5501335</v>
      </c>
      <c r="AB25" s="72">
        <f t="shared" si="19"/>
        <v>4.735556890590117</v>
      </c>
      <c r="AC25" s="125"/>
      <c r="AD25" s="123"/>
      <c r="AE25" s="143"/>
    </row>
    <row r="26" spans="1:31" ht="15">
      <c r="A26" s="116">
        <f>ROW()</f>
        <v>26</v>
      </c>
      <c r="B26" s="132" t="s">
        <v>40</v>
      </c>
      <c r="C26" s="290">
        <v>0.90990463455193</v>
      </c>
      <c r="D26" s="266">
        <v>680345.5776</v>
      </c>
      <c r="E26" s="142">
        <f t="shared" si="0"/>
        <v>0.10435747667132286</v>
      </c>
      <c r="F26" s="135">
        <f>+'Monthly Energy Allocators'!N64</f>
        <v>1443936775.3719378</v>
      </c>
      <c r="G26" s="142">
        <f t="shared" si="0"/>
        <v>0.12579732137654312</v>
      </c>
      <c r="H26" s="192">
        <f>+'Monthly Energy Allocators'!N14</f>
        <v>1431032716</v>
      </c>
      <c r="I26" s="17">
        <f>'Monthly Fuel Cost Allocation'!N82</f>
        <v>55158532.734449014</v>
      </c>
      <c r="J26" s="17">
        <f t="shared" si="1"/>
        <v>3458711.0668653212</v>
      </c>
      <c r="K26" s="17">
        <f t="shared" si="2"/>
        <v>1899438.9213685293</v>
      </c>
      <c r="L26" s="18">
        <f t="shared" si="3"/>
        <v>771843.3265896251</v>
      </c>
      <c r="M26" s="19">
        <f t="shared" si="4"/>
        <v>2671282.2479581544</v>
      </c>
      <c r="N26" s="19">
        <f t="shared" si="5"/>
        <v>6129993.314823476</v>
      </c>
      <c r="O26" s="17">
        <f t="shared" si="6"/>
        <v>4130431.647396969</v>
      </c>
      <c r="P26" s="17">
        <f t="shared" si="7"/>
        <v>1239129.4942190906</v>
      </c>
      <c r="Q26" s="18">
        <f t="shared" si="8"/>
        <v>440546.83428428316</v>
      </c>
      <c r="R26" s="19">
        <f t="shared" si="9"/>
        <v>1679676.3285033738</v>
      </c>
      <c r="S26" s="19">
        <f t="shared" si="10"/>
        <v>5810107.975900343</v>
      </c>
      <c r="T26" s="18">
        <f>+I26+N26+S26</f>
        <v>67098634.02517284</v>
      </c>
      <c r="U26" s="305">
        <f t="shared" si="12"/>
        <v>-56883.78756397353</v>
      </c>
      <c r="V26" s="305">
        <f t="shared" si="13"/>
        <v>-276754.1070283945</v>
      </c>
      <c r="W26" s="18">
        <f t="shared" si="14"/>
        <v>648177.1731807693</v>
      </c>
      <c r="X26" s="19">
        <f t="shared" si="15"/>
        <v>67413173.30376124</v>
      </c>
      <c r="Y26" s="18">
        <f t="shared" si="16"/>
        <v>61339558.818944804</v>
      </c>
      <c r="Z26" s="23">
        <f t="shared" si="17"/>
        <v>0.11378348598659356</v>
      </c>
      <c r="AA26" s="18">
        <f t="shared" si="18"/>
        <v>61387589.81750847</v>
      </c>
      <c r="AB26" s="72">
        <f>+AA26/H26*100</f>
        <v>4.2897404881908</v>
      </c>
      <c r="AC26" s="125"/>
      <c r="AD26" s="123"/>
      <c r="AE26" s="143"/>
    </row>
    <row r="27" spans="1:31" ht="15">
      <c r="A27" s="116">
        <f>ROW()</f>
        <v>27</v>
      </c>
      <c r="B27" s="132" t="s">
        <v>19</v>
      </c>
      <c r="C27" s="290">
        <v>0.9983575193075592</v>
      </c>
      <c r="D27" s="266">
        <v>127876.04111987856</v>
      </c>
      <c r="E27" s="142">
        <f t="shared" si="0"/>
        <v>0.019614768460852344</v>
      </c>
      <c r="F27" s="135">
        <f>+'Monthly Energy Allocators'!N65</f>
        <v>199102481.3589902</v>
      </c>
      <c r="G27" s="142">
        <f t="shared" si="0"/>
        <v>0.017346021835292918</v>
      </c>
      <c r="H27" s="192">
        <f>+'Monthly Energy Allocators'!N15</f>
        <v>191346288</v>
      </c>
      <c r="I27" s="17">
        <f>'Monthly Fuel Cost Allocation'!N83</f>
        <v>7641517.8294794755</v>
      </c>
      <c r="J27" s="17">
        <f t="shared" si="1"/>
        <v>476916.972725002</v>
      </c>
      <c r="K27" s="17">
        <f t="shared" si="2"/>
        <v>261911.05378343415</v>
      </c>
      <c r="L27" s="18">
        <f t="shared" si="3"/>
        <v>145073.72755659808</v>
      </c>
      <c r="M27" s="19">
        <f t="shared" si="4"/>
        <v>406984.78134003223</v>
      </c>
      <c r="N27" s="19">
        <f>+J27+K27+L27</f>
        <v>883901.7540650342</v>
      </c>
      <c r="O27" s="17">
        <f t="shared" si="6"/>
        <v>569539.6115031457</v>
      </c>
      <c r="P27" s="17">
        <f t="shared" si="7"/>
        <v>170861.88345094366</v>
      </c>
      <c r="Q27" s="18">
        <f t="shared" si="8"/>
        <v>82804.07332829163</v>
      </c>
      <c r="R27" s="19">
        <f t="shared" si="9"/>
        <v>253665.95677923528</v>
      </c>
      <c r="S27" s="19">
        <f t="shared" si="10"/>
        <v>823205.5682823809</v>
      </c>
      <c r="T27" s="18">
        <f t="shared" si="11"/>
        <v>9348625.15182689</v>
      </c>
      <c r="U27" s="305">
        <f t="shared" si="12"/>
        <v>-7843.628229613763</v>
      </c>
      <c r="V27" s="305">
        <f t="shared" si="13"/>
        <v>-38161.248037644364</v>
      </c>
      <c r="W27" s="18">
        <f t="shared" si="14"/>
        <v>89376.27030609056</v>
      </c>
      <c r="X27" s="19">
        <f t="shared" si="15"/>
        <v>9391996.545865722</v>
      </c>
      <c r="Y27" s="18">
        <f t="shared" si="16"/>
        <v>9376570.372875666</v>
      </c>
      <c r="Z27" s="23">
        <f t="shared" si="17"/>
        <v>0.0173933247021479</v>
      </c>
      <c r="AA27" s="18">
        <f t="shared" si="18"/>
        <v>9383912.55216067</v>
      </c>
      <c r="AB27" s="72">
        <f t="shared" si="19"/>
        <v>4.904151865313776</v>
      </c>
      <c r="AC27" s="125"/>
      <c r="AD27" s="123"/>
      <c r="AE27" s="143"/>
    </row>
    <row r="28" spans="1:31" ht="19.5">
      <c r="A28" s="116">
        <f>ROW()</f>
        <v>28</v>
      </c>
      <c r="B28" s="132" t="s">
        <v>213</v>
      </c>
      <c r="C28" s="290">
        <v>1</v>
      </c>
      <c r="D28" s="267">
        <v>72586.47613486675</v>
      </c>
      <c r="E28" s="145">
        <f t="shared" si="0"/>
        <v>0.011133961532636691</v>
      </c>
      <c r="F28" s="139">
        <f>+'Monthly Energy Allocators'!N66</f>
        <v>124439777.29940557</v>
      </c>
      <c r="G28" s="145">
        <f t="shared" si="0"/>
        <v>0.010841326936164833</v>
      </c>
      <c r="H28" s="199">
        <f>+'Monthly Energy Allocators'!N16</f>
        <v>112944388.2844692</v>
      </c>
      <c r="I28" s="14">
        <f>'Monthly Fuel Cost Allocation'!N84</f>
        <v>4750572.618982486</v>
      </c>
      <c r="J28" s="20">
        <f>+J$29*$G28</f>
        <v>298074.8480437066</v>
      </c>
      <c r="K28" s="20">
        <f t="shared" si="2"/>
        <v>163695.3642295304</v>
      </c>
      <c r="L28" s="21">
        <f t="shared" si="3"/>
        <v>82348.42563832077</v>
      </c>
      <c r="M28" s="22">
        <f t="shared" si="4"/>
        <v>246043.78986785116</v>
      </c>
      <c r="N28" s="22">
        <f t="shared" si="5"/>
        <v>544118.6379115578</v>
      </c>
      <c r="O28" s="20">
        <f t="shared" si="6"/>
        <v>355964.3352252035</v>
      </c>
      <c r="P28" s="20">
        <f t="shared" si="7"/>
        <v>106789.30056756103</v>
      </c>
      <c r="Q28" s="21">
        <f t="shared" si="8"/>
        <v>47002.20494689259</v>
      </c>
      <c r="R28" s="22">
        <f t="shared" si="9"/>
        <v>153791.50551445363</v>
      </c>
      <c r="S28" s="22">
        <f t="shared" si="10"/>
        <v>509755.84073965705</v>
      </c>
      <c r="T28" s="15">
        <f t="shared" si="11"/>
        <v>5804447.097633702</v>
      </c>
      <c r="U28" s="306">
        <f t="shared" si="12"/>
        <v>-4902.2962619566315</v>
      </c>
      <c r="V28" s="306">
        <f t="shared" si="13"/>
        <v>-23850.919259562597</v>
      </c>
      <c r="W28" s="21">
        <f t="shared" si="14"/>
        <v>55860.49504168668</v>
      </c>
      <c r="X28" s="22">
        <f t="shared" si="15"/>
        <v>5831554.37715387</v>
      </c>
      <c r="Y28" s="15">
        <f t="shared" si="16"/>
        <v>5831554.37715387</v>
      </c>
      <c r="Z28" s="24">
        <f t="shared" si="17"/>
        <v>0.010817400687727349</v>
      </c>
      <c r="AA28" s="15">
        <f>+Z28*X$29</f>
        <v>5836120.68616075</v>
      </c>
      <c r="AB28" s="73">
        <f t="shared" si="19"/>
        <v>5.16725157823823</v>
      </c>
      <c r="AC28" s="125"/>
      <c r="AD28" s="123"/>
      <c r="AE28" s="143"/>
    </row>
    <row r="29" spans="1:31" ht="15">
      <c r="A29" s="116">
        <f>ROW()</f>
        <v>29</v>
      </c>
      <c r="B29" s="146" t="s">
        <v>28</v>
      </c>
      <c r="C29" s="140">
        <v>1</v>
      </c>
      <c r="D29" s="135">
        <f>D18+SUM(D20:D28)</f>
        <v>6519375.509076074</v>
      </c>
      <c r="E29" s="142">
        <f>SUM(E18:E28)</f>
        <v>1</v>
      </c>
      <c r="F29" s="135">
        <f>F18+SUM(F20:F28)</f>
        <v>11478279184.100197</v>
      </c>
      <c r="G29" s="142">
        <f>SUM(G18:G28)</f>
        <v>0.9999999999999998</v>
      </c>
      <c r="H29" s="192">
        <f>H18+SUM(H20:H28)</f>
        <v>10772597491.99699</v>
      </c>
      <c r="I29" s="17">
        <f>I18+SUM(I20:I28)</f>
        <v>440116527.424255</v>
      </c>
      <c r="J29" s="17">
        <f>+N29*J31</f>
        <v>27494314.1</v>
      </c>
      <c r="K29" s="17">
        <f>+M29*K31</f>
        <v>15099200.051192103</v>
      </c>
      <c r="L29" s="18">
        <f>+M29*L31</f>
        <v>7396147.848807899</v>
      </c>
      <c r="M29" s="19">
        <f>+N29*M31</f>
        <v>22495347.900000002</v>
      </c>
      <c r="N29" s="19">
        <f>+N39-N36</f>
        <v>49989662</v>
      </c>
      <c r="O29" s="17">
        <f>+S29*O31</f>
        <v>32834019.056999993</v>
      </c>
      <c r="P29" s="17">
        <f>+R29*P31</f>
        <v>9850205.717099996</v>
      </c>
      <c r="Q29" s="18">
        <f>+R29*Q31</f>
        <v>4221516.735899999</v>
      </c>
      <c r="R29" s="19">
        <f>+S29*R31</f>
        <v>14071722.452999996</v>
      </c>
      <c r="S29" s="19">
        <f>+S39-S36</f>
        <v>46905741.50999999</v>
      </c>
      <c r="T29" s="18">
        <f>T18+SUM(T20:T28)</f>
        <v>537011930.9342551</v>
      </c>
      <c r="U29" s="305">
        <f>-'Monthly Fuel Cost Allocation'!N12</f>
        <v>-452186</v>
      </c>
      <c r="V29" s="305">
        <f>+'Data Inputs - 2011'!O7</f>
        <v>-2199999.9999999967</v>
      </c>
      <c r="W29" s="18">
        <f>+'Data Inputs - 2011'!O8</f>
        <v>5152551.469999997</v>
      </c>
      <c r="X29" s="19">
        <f>X18+SUM(X20:X28)</f>
        <v>539512296.404255</v>
      </c>
      <c r="Y29" s="18">
        <f>SUM(Y18:Y28)</f>
        <v>539090170.1339339</v>
      </c>
      <c r="Z29" s="23">
        <f>SUM(Z18:Z28)</f>
        <v>1.0000000000000002</v>
      </c>
      <c r="AA29" s="18">
        <f>SUM(AA18:AA28)</f>
        <v>539512296.404255</v>
      </c>
      <c r="AB29" s="72">
        <f t="shared" si="19"/>
        <v>5.0081913559386315</v>
      </c>
      <c r="AC29" s="125"/>
      <c r="AD29" s="123"/>
      <c r="AE29" s="143"/>
    </row>
    <row r="30" spans="1:31" ht="15">
      <c r="A30" s="116">
        <f>ROW()</f>
        <v>30</v>
      </c>
      <c r="B30" s="147"/>
      <c r="C30" s="133"/>
      <c r="D30" s="133"/>
      <c r="E30" s="123"/>
      <c r="F30" s="135"/>
      <c r="G30" s="135"/>
      <c r="H30" s="192"/>
      <c r="I30" s="17"/>
      <c r="J30" s="17"/>
      <c r="K30" s="148"/>
      <c r="L30" s="123"/>
      <c r="M30" s="134"/>
      <c r="N30" s="149"/>
      <c r="O30" s="17"/>
      <c r="P30" s="148"/>
      <c r="Q30" s="123"/>
      <c r="R30" s="134"/>
      <c r="S30" s="149"/>
      <c r="T30" s="150"/>
      <c r="U30" s="150"/>
      <c r="V30" s="150"/>
      <c r="W30" s="150"/>
      <c r="X30" s="19"/>
      <c r="Y30" s="18"/>
      <c r="Z30" s="123"/>
      <c r="AA30" s="123"/>
      <c r="AB30" s="72"/>
      <c r="AC30" s="125"/>
      <c r="AD30" s="123"/>
      <c r="AE30" s="143"/>
    </row>
    <row r="31" spans="1:31" ht="15">
      <c r="A31" s="116">
        <f>ROW()</f>
        <v>31</v>
      </c>
      <c r="B31" s="147" t="s">
        <v>203</v>
      </c>
      <c r="C31" s="133"/>
      <c r="D31" s="133"/>
      <c r="E31" s="123"/>
      <c r="F31" s="135"/>
      <c r="G31" s="135"/>
      <c r="H31" s="192"/>
      <c r="I31" s="17"/>
      <c r="J31" s="151">
        <v>0.55</v>
      </c>
      <c r="K31" s="152">
        <f>1-L31</f>
        <v>0.6712143381073071</v>
      </c>
      <c r="L31" s="153">
        <f>511891/1556914</f>
        <v>0.32878566189269287</v>
      </c>
      <c r="M31" s="154">
        <v>0.45</v>
      </c>
      <c r="N31" s="149"/>
      <c r="O31" s="151">
        <v>0.7</v>
      </c>
      <c r="P31" s="152">
        <f>1-Q31</f>
        <v>0.7</v>
      </c>
      <c r="Q31" s="153">
        <f>513.3/1711</f>
        <v>0.3</v>
      </c>
      <c r="R31" s="154">
        <v>0.3</v>
      </c>
      <c r="S31" s="149"/>
      <c r="T31" s="150"/>
      <c r="U31" s="18"/>
      <c r="V31" s="18"/>
      <c r="W31" s="18"/>
      <c r="X31" s="19"/>
      <c r="Y31" s="18"/>
      <c r="Z31" s="123"/>
      <c r="AA31" s="123"/>
      <c r="AB31" s="72"/>
      <c r="AC31" s="125"/>
      <c r="AD31" s="123"/>
      <c r="AE31" s="143"/>
    </row>
    <row r="32" spans="1:31" ht="15">
      <c r="A32" s="116"/>
      <c r="B32" s="147"/>
      <c r="C32" s="133"/>
      <c r="D32" s="133"/>
      <c r="E32" s="123"/>
      <c r="F32" s="135"/>
      <c r="G32" s="135"/>
      <c r="H32" s="192"/>
      <c r="I32" s="17"/>
      <c r="J32" s="151"/>
      <c r="K32" s="155"/>
      <c r="L32" s="155"/>
      <c r="M32" s="155"/>
      <c r="N32" s="149"/>
      <c r="O32" s="151"/>
      <c r="P32" s="155"/>
      <c r="Q32" s="155"/>
      <c r="R32" s="155"/>
      <c r="S32" s="149"/>
      <c r="T32" s="150"/>
      <c r="U32" s="18"/>
      <c r="V32" s="18"/>
      <c r="W32" s="18"/>
      <c r="X32" s="19"/>
      <c r="Y32" s="18"/>
      <c r="Z32" s="123"/>
      <c r="AA32" s="123"/>
      <c r="AB32" s="72"/>
      <c r="AC32" s="125"/>
      <c r="AD32" s="123"/>
      <c r="AE32" s="143"/>
    </row>
    <row r="33" spans="1:31" ht="15">
      <c r="A33" s="116">
        <f>ROW()</f>
        <v>33</v>
      </c>
      <c r="B33" s="147" t="s">
        <v>83</v>
      </c>
      <c r="C33" s="133"/>
      <c r="D33" s="133"/>
      <c r="E33" s="123"/>
      <c r="F33" s="135"/>
      <c r="G33" s="135"/>
      <c r="H33" s="192"/>
      <c r="I33" s="17"/>
      <c r="J33" s="148"/>
      <c r="K33" s="18"/>
      <c r="L33" s="18"/>
      <c r="M33" s="150"/>
      <c r="N33" s="149"/>
      <c r="O33" s="148"/>
      <c r="P33" s="18"/>
      <c r="Q33" s="18"/>
      <c r="R33" s="150"/>
      <c r="S33" s="149"/>
      <c r="T33" s="150"/>
      <c r="U33" s="150"/>
      <c r="V33" s="150"/>
      <c r="W33" s="150"/>
      <c r="X33" s="19"/>
      <c r="Y33" s="18"/>
      <c r="Z33" s="123"/>
      <c r="AA33" s="123"/>
      <c r="AB33" s="72"/>
      <c r="AC33" s="125"/>
      <c r="AD33" s="123"/>
      <c r="AE33" s="143"/>
    </row>
    <row r="34" spans="1:33" ht="15">
      <c r="A34" s="116">
        <f>ROW()</f>
        <v>34</v>
      </c>
      <c r="B34" s="147" t="s">
        <v>145</v>
      </c>
      <c r="C34" s="140">
        <v>1</v>
      </c>
      <c r="D34" s="268">
        <v>42856.8</v>
      </c>
      <c r="E34" s="156">
        <f>D34/D39</f>
        <v>0.006573758474310321</v>
      </c>
      <c r="F34" s="135">
        <f>+'Monthly Energy Allocators'!N70</f>
        <v>176773248.0673214</v>
      </c>
      <c r="G34" s="277">
        <f>F34/F39</f>
        <v>0.01540067506915053</v>
      </c>
      <c r="H34" s="192">
        <f>'Monthly Energy Allocators'!N20</f>
        <v>174270546</v>
      </c>
      <c r="I34" s="17">
        <f>'Monthly Fuel Cost Allocation'!N41</f>
        <v>9978731.463960001</v>
      </c>
      <c r="J34" s="157">
        <f>'Monthly Fuel Cost Allocation'!N43</f>
        <v>0</v>
      </c>
      <c r="K34" s="150">
        <f>'Monthly Fuel Cost Allocation'!N44</f>
        <v>0</v>
      </c>
      <c r="L34" s="150">
        <f>'Monthly Fuel Cost Allocation'!N45</f>
        <v>0</v>
      </c>
      <c r="M34" s="150">
        <f>+M$31*N34</f>
        <v>0</v>
      </c>
      <c r="N34" s="19">
        <f>'Monthly Fuel Cost Allocation'!N46</f>
        <v>0</v>
      </c>
      <c r="O34" s="157">
        <f>'Monthly Fuel Cost Allocation'!N48</f>
        <v>0</v>
      </c>
      <c r="P34" s="150">
        <f>'Monthly Fuel Cost Allocation'!N49</f>
        <v>0</v>
      </c>
      <c r="Q34" s="150">
        <f>'Monthly Fuel Cost Allocation'!N50</f>
        <v>0</v>
      </c>
      <c r="R34" s="273">
        <f>+R$31*S34</f>
        <v>0</v>
      </c>
      <c r="S34" s="19">
        <f>'Monthly Fuel Cost Allocation'!N51</f>
        <v>0</v>
      </c>
      <c r="T34" s="18">
        <f>+I34+N34+S34</f>
        <v>9978731.463960001</v>
      </c>
      <c r="U34" s="150">
        <v>0</v>
      </c>
      <c r="V34" s="150"/>
      <c r="W34" s="150"/>
      <c r="X34" s="19">
        <f>+T34+U34</f>
        <v>9978731.463960001</v>
      </c>
      <c r="Y34" s="18" t="s">
        <v>30</v>
      </c>
      <c r="Z34" s="158" t="s">
        <v>30</v>
      </c>
      <c r="AA34" s="150">
        <f>+X34</f>
        <v>9978731.463960001</v>
      </c>
      <c r="AB34" s="72">
        <f>+AA34/H34*100</f>
        <v>5.726000000000001</v>
      </c>
      <c r="AC34" s="125"/>
      <c r="AD34" s="123"/>
      <c r="AE34" s="143"/>
      <c r="AG34" s="34"/>
    </row>
    <row r="35" spans="1:33" ht="15">
      <c r="A35" s="116">
        <f>ROW()</f>
        <v>35</v>
      </c>
      <c r="B35" s="147" t="s">
        <v>146</v>
      </c>
      <c r="C35" s="140">
        <v>1</v>
      </c>
      <c r="D35" s="226">
        <v>0</v>
      </c>
      <c r="E35" s="159"/>
      <c r="F35" s="139">
        <f>+'Monthly Energy Allocators'!N73</f>
        <v>0</v>
      </c>
      <c r="G35" s="139"/>
      <c r="H35" s="199">
        <f>+'Monthly Fuel Cost Allocation'!N155</f>
        <v>0</v>
      </c>
      <c r="I35" s="14">
        <f>'Monthly Fuel Cost Allocation'!N56</f>
        <v>0</v>
      </c>
      <c r="J35" s="160">
        <f>'Monthly Fuel Cost Allocation'!N58</f>
        <v>0</v>
      </c>
      <c r="K35" s="150">
        <f>'Monthly Fuel Cost Allocation'!N59</f>
        <v>0</v>
      </c>
      <c r="L35" s="150">
        <f>'Monthly Fuel Cost Allocation'!N60</f>
        <v>0</v>
      </c>
      <c r="M35" s="150">
        <f>+M$31*N35</f>
        <v>0</v>
      </c>
      <c r="N35" s="19">
        <f>'Monthly Fuel Cost Allocation'!N61</f>
        <v>0</v>
      </c>
      <c r="O35" s="157">
        <f>'Monthly Fuel Cost Allocation'!N63</f>
        <v>0</v>
      </c>
      <c r="P35" s="150">
        <f>'Monthly Fuel Cost Allocation'!N64</f>
        <v>0</v>
      </c>
      <c r="Q35" s="150">
        <f>'Monthly Fuel Cost Allocation'!N65</f>
        <v>0</v>
      </c>
      <c r="R35" s="273">
        <f>+R$31*S35</f>
        <v>0</v>
      </c>
      <c r="S35" s="19">
        <f>'Monthly Fuel Cost Allocation'!N66</f>
        <v>0</v>
      </c>
      <c r="T35" s="15">
        <f>+I35+N35+S35</f>
        <v>0</v>
      </c>
      <c r="U35" s="161">
        <v>0</v>
      </c>
      <c r="V35" s="161"/>
      <c r="W35" s="161"/>
      <c r="X35" s="16">
        <f>+T35+U35</f>
        <v>0</v>
      </c>
      <c r="Y35" s="18"/>
      <c r="Z35" s="158"/>
      <c r="AA35" s="161">
        <f>+X35</f>
        <v>0</v>
      </c>
      <c r="AB35" s="74"/>
      <c r="AC35" s="125"/>
      <c r="AD35" s="123"/>
      <c r="AE35" s="143"/>
      <c r="AG35" s="34"/>
    </row>
    <row r="36" spans="1:33" ht="15">
      <c r="A36" s="116">
        <f>ROW()</f>
        <v>36</v>
      </c>
      <c r="B36" s="147" t="s">
        <v>118</v>
      </c>
      <c r="C36" s="140"/>
      <c r="D36" s="225">
        <f>SUM(D34:D35)</f>
        <v>42856.8</v>
      </c>
      <c r="E36" s="156"/>
      <c r="F36" s="135">
        <f>+F34+F35</f>
        <v>176773248.0673214</v>
      </c>
      <c r="G36" s="135"/>
      <c r="H36" s="192">
        <f aca="true" t="shared" si="20" ref="H36:U36">+H34+H35</f>
        <v>174270546</v>
      </c>
      <c r="I36" s="17">
        <f t="shared" si="20"/>
        <v>9978731.463960001</v>
      </c>
      <c r="J36" s="157">
        <f t="shared" si="20"/>
        <v>0</v>
      </c>
      <c r="K36" s="150">
        <f t="shared" si="20"/>
        <v>0</v>
      </c>
      <c r="L36" s="150">
        <f t="shared" si="20"/>
        <v>0</v>
      </c>
      <c r="M36" s="150">
        <f t="shared" si="20"/>
        <v>0</v>
      </c>
      <c r="N36" s="19">
        <f t="shared" si="20"/>
        <v>0</v>
      </c>
      <c r="O36" s="157">
        <f t="shared" si="20"/>
        <v>0</v>
      </c>
      <c r="P36" s="150">
        <f t="shared" si="20"/>
        <v>0</v>
      </c>
      <c r="Q36" s="150">
        <f t="shared" si="20"/>
        <v>0</v>
      </c>
      <c r="R36" s="150">
        <f t="shared" si="20"/>
        <v>0</v>
      </c>
      <c r="S36" s="19">
        <f t="shared" si="20"/>
        <v>0</v>
      </c>
      <c r="T36" s="18">
        <f t="shared" si="20"/>
        <v>9978731.463960001</v>
      </c>
      <c r="U36" s="150">
        <f t="shared" si="20"/>
        <v>0</v>
      </c>
      <c r="V36" s="150"/>
      <c r="W36" s="150"/>
      <c r="X36" s="19">
        <f>+X34+X35</f>
        <v>9978731.463960001</v>
      </c>
      <c r="Y36" s="18"/>
      <c r="Z36" s="158"/>
      <c r="AA36" s="150">
        <f>+X36</f>
        <v>9978731.463960001</v>
      </c>
      <c r="AB36" s="72">
        <f>+AA36/H36*100</f>
        <v>5.726000000000001</v>
      </c>
      <c r="AC36" s="125"/>
      <c r="AD36" s="123"/>
      <c r="AE36" s="143"/>
      <c r="AG36" s="113"/>
    </row>
    <row r="37" spans="1:31" ht="15">
      <c r="A37" s="116">
        <f>ROW()</f>
        <v>37</v>
      </c>
      <c r="B37" s="147"/>
      <c r="C37" s="140"/>
      <c r="D37" s="225"/>
      <c r="E37" s="156"/>
      <c r="F37" s="135"/>
      <c r="G37" s="135"/>
      <c r="H37" s="192"/>
      <c r="I37" s="17"/>
      <c r="J37" s="157"/>
      <c r="K37" s="150"/>
      <c r="L37" s="150"/>
      <c r="M37" s="150"/>
      <c r="N37" s="19"/>
      <c r="O37" s="157"/>
      <c r="P37" s="150"/>
      <c r="Q37" s="150"/>
      <c r="R37" s="150"/>
      <c r="S37" s="19"/>
      <c r="T37" s="18"/>
      <c r="U37" s="150"/>
      <c r="V37" s="150"/>
      <c r="W37" s="150"/>
      <c r="X37" s="19"/>
      <c r="Y37" s="18"/>
      <c r="Z37" s="158"/>
      <c r="AA37" s="150"/>
      <c r="AB37" s="72"/>
      <c r="AC37" s="125"/>
      <c r="AD37" s="123"/>
      <c r="AE37" s="144"/>
    </row>
    <row r="38" spans="1:31" ht="10.5" customHeight="1">
      <c r="A38" s="116">
        <f>ROW()</f>
        <v>38</v>
      </c>
      <c r="B38" s="147"/>
      <c r="C38" s="133"/>
      <c r="D38" s="225"/>
      <c r="E38" s="123"/>
      <c r="F38" s="135"/>
      <c r="G38" s="135"/>
      <c r="H38" s="192"/>
      <c r="I38" s="176"/>
      <c r="J38" s="177"/>
      <c r="K38" s="178"/>
      <c r="L38" s="178"/>
      <c r="M38" s="178"/>
      <c r="N38" s="179"/>
      <c r="O38" s="177"/>
      <c r="P38" s="178"/>
      <c r="Q38" s="178"/>
      <c r="R38" s="178"/>
      <c r="S38" s="179"/>
      <c r="T38" s="178"/>
      <c r="U38" s="178"/>
      <c r="V38" s="178"/>
      <c r="W38" s="178"/>
      <c r="X38" s="180"/>
      <c r="Y38" s="181"/>
      <c r="Z38" s="178"/>
      <c r="AA38" s="178"/>
      <c r="AB38" s="72"/>
      <c r="AC38" s="125"/>
      <c r="AD38" s="123"/>
      <c r="AE38" s="144"/>
    </row>
    <row r="39" spans="1:33" ht="31.5" customHeight="1">
      <c r="A39" s="116">
        <f>ROW()</f>
        <v>39</v>
      </c>
      <c r="B39" s="162" t="s">
        <v>267</v>
      </c>
      <c r="C39" s="163"/>
      <c r="D39" s="227">
        <f>D29</f>
        <v>6519375.509076074</v>
      </c>
      <c r="E39" s="164"/>
      <c r="F39" s="165">
        <f>F29</f>
        <v>11478279184.100197</v>
      </c>
      <c r="G39" s="165"/>
      <c r="H39" s="211">
        <f aca="true" t="shared" si="21" ref="H39:M39">H29</f>
        <v>10772597491.99699</v>
      </c>
      <c r="I39" s="182">
        <f t="shared" si="21"/>
        <v>440116527.424255</v>
      </c>
      <c r="J39" s="183">
        <f t="shared" si="21"/>
        <v>27494314.1</v>
      </c>
      <c r="K39" s="184">
        <f t="shared" si="21"/>
        <v>15099200.051192103</v>
      </c>
      <c r="L39" s="184">
        <f t="shared" si="21"/>
        <v>7396147.848807899</v>
      </c>
      <c r="M39" s="184">
        <f t="shared" si="21"/>
        <v>22495347.900000002</v>
      </c>
      <c r="N39" s="184">
        <f>+N51-N45</f>
        <v>49989662</v>
      </c>
      <c r="O39" s="183">
        <f>O29</f>
        <v>32834019.056999993</v>
      </c>
      <c r="P39" s="184">
        <f>P29</f>
        <v>9850205.717099996</v>
      </c>
      <c r="Q39" s="184">
        <f>Q29</f>
        <v>4221516.735899999</v>
      </c>
      <c r="R39" s="184">
        <f>R29</f>
        <v>14071722.452999996</v>
      </c>
      <c r="S39" s="184">
        <f>+S51-S45</f>
        <v>46905741.50999999</v>
      </c>
      <c r="T39" s="185">
        <f>T29</f>
        <v>537011930.9342551</v>
      </c>
      <c r="U39" s="307">
        <f>U29</f>
        <v>-452186</v>
      </c>
      <c r="V39" s="307">
        <f>V29</f>
        <v>-2199999.9999999967</v>
      </c>
      <c r="W39" s="186">
        <f>W29</f>
        <v>5152551.469999997</v>
      </c>
      <c r="X39" s="187">
        <f>X29</f>
        <v>539512296.404255</v>
      </c>
      <c r="Y39" s="86"/>
      <c r="Z39" s="186"/>
      <c r="AA39" s="186">
        <f>+AA29+AA36</f>
        <v>549491027.8682151</v>
      </c>
      <c r="AB39" s="114">
        <f>+AA39/H39*100</f>
        <v>5.100822046645987</v>
      </c>
      <c r="AC39" s="125"/>
      <c r="AD39" s="123"/>
      <c r="AE39" s="144"/>
      <c r="AG39" s="188"/>
    </row>
    <row r="40" spans="1:31" ht="15">
      <c r="A40" s="116">
        <f>ROW()</f>
        <v>40</v>
      </c>
      <c r="B40" s="167"/>
      <c r="C40" s="163"/>
      <c r="D40" s="228"/>
      <c r="E40" s="164"/>
      <c r="F40" s="165"/>
      <c r="G40" s="168"/>
      <c r="H40" s="213"/>
      <c r="I40" s="31"/>
      <c r="J40" s="30"/>
      <c r="K40" s="31"/>
      <c r="L40" s="31"/>
      <c r="M40" s="31"/>
      <c r="N40" s="32"/>
      <c r="O40" s="30"/>
      <c r="P40" s="31"/>
      <c r="Q40" s="31"/>
      <c r="R40" s="31"/>
      <c r="S40" s="32"/>
      <c r="T40" s="31"/>
      <c r="U40" s="31"/>
      <c r="V40" s="31"/>
      <c r="W40" s="31"/>
      <c r="X40" s="32"/>
      <c r="Y40" s="31"/>
      <c r="Z40" s="166"/>
      <c r="AA40" s="150"/>
      <c r="AB40" s="75"/>
      <c r="AC40" s="125"/>
      <c r="AD40" s="123"/>
      <c r="AE40" s="123"/>
    </row>
    <row r="41" spans="1:33" ht="12" customHeight="1">
      <c r="A41" s="116">
        <f>ROW()</f>
        <v>41</v>
      </c>
      <c r="B41" s="167" t="s">
        <v>204</v>
      </c>
      <c r="C41" s="133"/>
      <c r="D41" s="225"/>
      <c r="E41" s="123"/>
      <c r="F41" s="135"/>
      <c r="G41" s="141"/>
      <c r="H41" s="193"/>
      <c r="I41" s="18"/>
      <c r="J41" s="17"/>
      <c r="K41" s="18"/>
      <c r="L41" s="18"/>
      <c r="M41" s="18"/>
      <c r="N41" s="19"/>
      <c r="O41" s="17"/>
      <c r="P41" s="18"/>
      <c r="Q41" s="18"/>
      <c r="R41" s="18"/>
      <c r="S41" s="19"/>
      <c r="T41" s="18"/>
      <c r="U41" s="18"/>
      <c r="V41" s="18"/>
      <c r="W41" s="18"/>
      <c r="X41" s="19"/>
      <c r="Y41" s="18"/>
      <c r="Z41" s="123"/>
      <c r="AA41" s="150"/>
      <c r="AB41" s="76"/>
      <c r="AC41" s="125"/>
      <c r="AD41" s="123"/>
      <c r="AE41" s="123"/>
      <c r="AG41" s="113"/>
    </row>
    <row r="42" spans="1:31" ht="15">
      <c r="A42" s="116">
        <f>ROW()</f>
        <v>42</v>
      </c>
      <c r="B42" s="147" t="s">
        <v>147</v>
      </c>
      <c r="C42" s="191">
        <v>1</v>
      </c>
      <c r="D42" s="268">
        <v>1575.909553872772</v>
      </c>
      <c r="E42" s="190"/>
      <c r="F42" s="192">
        <f>+'Monthly Energy Allocators'!N71</f>
        <v>17603083.957298037</v>
      </c>
      <c r="G42" s="193"/>
      <c r="H42" s="193">
        <f>+'Monthly Energy Allocators'!N21</f>
        <v>17063185.189999998</v>
      </c>
      <c r="I42" s="194">
        <f>'Monthly Fuel Cost Allocation'!N21</f>
        <v>855171.99675</v>
      </c>
      <c r="J42" s="195"/>
      <c r="K42" s="194"/>
      <c r="L42" s="194"/>
      <c r="M42" s="194"/>
      <c r="N42" s="196">
        <f>+J42+K42+L42</f>
        <v>0</v>
      </c>
      <c r="O42" s="195"/>
      <c r="P42" s="194"/>
      <c r="Q42" s="194"/>
      <c r="R42" s="194"/>
      <c r="S42" s="196">
        <f>+O42+P42+Q42</f>
        <v>0</v>
      </c>
      <c r="T42" s="194">
        <f>+I42+N42+S42</f>
        <v>855171.99675</v>
      </c>
      <c r="U42" s="194">
        <v>0</v>
      </c>
      <c r="V42" s="194"/>
      <c r="W42" s="194"/>
      <c r="X42" s="196">
        <f>+T42+U42</f>
        <v>855171.99675</v>
      </c>
      <c r="Y42" s="194"/>
      <c r="Z42" s="46"/>
      <c r="AA42" s="197">
        <f>+X42</f>
        <v>855171.99675</v>
      </c>
      <c r="AB42" s="198"/>
      <c r="AC42" s="125"/>
      <c r="AD42" s="123"/>
      <c r="AE42" s="123"/>
    </row>
    <row r="43" spans="1:31" ht="15">
      <c r="A43" s="116">
        <f>ROW()</f>
        <v>43</v>
      </c>
      <c r="B43" s="147" t="s">
        <v>149</v>
      </c>
      <c r="C43" s="191">
        <v>1</v>
      </c>
      <c r="D43" s="268">
        <v>85713.6</v>
      </c>
      <c r="E43" s="190"/>
      <c r="F43" s="192">
        <f>+'Monthly Energy Allocators'!N72</f>
        <v>191740949.9800229</v>
      </c>
      <c r="G43" s="193"/>
      <c r="H43" s="193">
        <f>+'Monthly Energy Allocators'!N22</f>
        <v>189000000</v>
      </c>
      <c r="I43" s="194">
        <f>'Monthly Fuel Cost Allocation'!N24</f>
        <v>113179.76931558298</v>
      </c>
      <c r="J43" s="195"/>
      <c r="K43" s="194"/>
      <c r="L43" s="194"/>
      <c r="M43" s="194"/>
      <c r="N43" s="196">
        <v>0</v>
      </c>
      <c r="O43" s="195"/>
      <c r="P43" s="194"/>
      <c r="Q43" s="194"/>
      <c r="R43" s="194"/>
      <c r="S43" s="196">
        <v>0</v>
      </c>
      <c r="T43" s="194">
        <f>+I43+N43+S43</f>
        <v>113179.76931558298</v>
      </c>
      <c r="U43" s="194">
        <v>0</v>
      </c>
      <c r="V43" s="194"/>
      <c r="W43" s="194"/>
      <c r="X43" s="196">
        <f>+T43+U43</f>
        <v>113179.76931558298</v>
      </c>
      <c r="Y43" s="194"/>
      <c r="Z43" s="46"/>
      <c r="AA43" s="197">
        <f>+X43</f>
        <v>113179.76931558298</v>
      </c>
      <c r="AB43" s="198"/>
      <c r="AC43" s="125"/>
      <c r="AD43" s="123"/>
      <c r="AE43" s="123"/>
    </row>
    <row r="44" spans="1:31" ht="15">
      <c r="A44" s="116">
        <f>ROW()</f>
        <v>44</v>
      </c>
      <c r="B44" s="132" t="s">
        <v>148</v>
      </c>
      <c r="C44" s="191"/>
      <c r="D44" s="230">
        <v>0</v>
      </c>
      <c r="E44" s="190"/>
      <c r="F44" s="199">
        <f>+'Monthly Energy Allocators'!N74</f>
        <v>43495461.89516067</v>
      </c>
      <c r="G44" s="200"/>
      <c r="H44" s="199">
        <f>+'Monthly Energy Allocators'!N24</f>
        <v>43687252</v>
      </c>
      <c r="I44" s="201">
        <f>'Monthly Fuel Cost Allocation'!N28+'Monthly Fuel Cost Allocation'!N29</f>
        <v>1975792.340851238</v>
      </c>
      <c r="J44" s="202"/>
      <c r="K44" s="201"/>
      <c r="L44" s="201"/>
      <c r="M44" s="201"/>
      <c r="N44" s="196">
        <v>0</v>
      </c>
      <c r="O44" s="202"/>
      <c r="P44" s="201"/>
      <c r="Q44" s="201"/>
      <c r="R44" s="201"/>
      <c r="S44" s="196">
        <v>0</v>
      </c>
      <c r="T44" s="201">
        <f>+I44+N44+S44</f>
        <v>1975792.340851238</v>
      </c>
      <c r="U44" s="201">
        <v>0</v>
      </c>
      <c r="V44" s="201"/>
      <c r="W44" s="201"/>
      <c r="X44" s="203">
        <f>+T44+U44</f>
        <v>1975792.340851238</v>
      </c>
      <c r="Y44" s="201"/>
      <c r="Z44" s="204"/>
      <c r="AA44" s="205">
        <f>+X44</f>
        <v>1975792.340851238</v>
      </c>
      <c r="AB44" s="198"/>
      <c r="AC44" s="125"/>
      <c r="AD44" s="123"/>
      <c r="AE44" s="123"/>
    </row>
    <row r="45" spans="1:31" ht="15">
      <c r="A45" s="116">
        <f>ROW()</f>
        <v>45</v>
      </c>
      <c r="B45" s="124" t="s">
        <v>206</v>
      </c>
      <c r="C45" s="191"/>
      <c r="D45" s="229">
        <f>SUM(D42:D44)</f>
        <v>87289.50955387278</v>
      </c>
      <c r="E45" s="190"/>
      <c r="F45" s="192">
        <f>SUM(F42:F44)</f>
        <v>252839495.83248162</v>
      </c>
      <c r="G45" s="192"/>
      <c r="H45" s="192">
        <f>SUM(H42:H44)</f>
        <v>249750437.19</v>
      </c>
      <c r="I45" s="194">
        <f>SUM(I42:I44)</f>
        <v>2944144.106916821</v>
      </c>
      <c r="J45" s="195">
        <f>SUM(J42:J44)</f>
        <v>0</v>
      </c>
      <c r="K45" s="194">
        <f>SUM(K42:K44)</f>
        <v>0</v>
      </c>
      <c r="L45" s="194">
        <f>SUM(L42:L44)</f>
        <v>0</v>
      </c>
      <c r="M45" s="194"/>
      <c r="N45" s="196">
        <f>SUM(N42:N44)</f>
        <v>0</v>
      </c>
      <c r="O45" s="195">
        <f>SUM(O42:O44)</f>
        <v>0</v>
      </c>
      <c r="P45" s="194">
        <f>SUM(P42:P44)</f>
        <v>0</v>
      </c>
      <c r="Q45" s="194">
        <f>SUM(Q42:Q44)</f>
        <v>0</v>
      </c>
      <c r="R45" s="194"/>
      <c r="S45" s="196">
        <f>SUM(S42:S44)</f>
        <v>0</v>
      </c>
      <c r="T45" s="194">
        <f>SUM(T42:T44)</f>
        <v>2944144.106916821</v>
      </c>
      <c r="U45" s="194">
        <f>SUM(U42:U44)</f>
        <v>0</v>
      </c>
      <c r="V45" s="194"/>
      <c r="W45" s="194"/>
      <c r="X45" s="196">
        <f>SUM(X42:X44)</f>
        <v>2944144.106916821</v>
      </c>
      <c r="Y45" s="194"/>
      <c r="Z45" s="46"/>
      <c r="AA45" s="197">
        <f>+X45</f>
        <v>2944144.106916821</v>
      </c>
      <c r="AB45" s="198"/>
      <c r="AC45" s="125"/>
      <c r="AD45" s="123"/>
      <c r="AE45" s="123"/>
    </row>
    <row r="46" spans="1:31" ht="10.5" customHeight="1">
      <c r="A46" s="116">
        <f>ROW()</f>
        <v>46</v>
      </c>
      <c r="B46" s="124"/>
      <c r="C46" s="191"/>
      <c r="D46" s="229"/>
      <c r="E46" s="190"/>
      <c r="F46" s="192"/>
      <c r="G46" s="193"/>
      <c r="H46" s="193"/>
      <c r="I46" s="194"/>
      <c r="J46" s="195"/>
      <c r="K46" s="194"/>
      <c r="L46" s="194"/>
      <c r="M46" s="194"/>
      <c r="N46" s="196"/>
      <c r="O46" s="195"/>
      <c r="P46" s="194"/>
      <c r="Q46" s="194"/>
      <c r="R46" s="194"/>
      <c r="S46" s="196"/>
      <c r="T46" s="194"/>
      <c r="U46" s="194"/>
      <c r="V46" s="194"/>
      <c r="W46" s="194"/>
      <c r="X46" s="196"/>
      <c r="Y46" s="194"/>
      <c r="Z46" s="46"/>
      <c r="AA46" s="197"/>
      <c r="AB46" s="206"/>
      <c r="AC46" s="125"/>
      <c r="AD46" s="123"/>
      <c r="AE46" s="123"/>
    </row>
    <row r="47" spans="1:31" ht="12.75">
      <c r="A47" s="116">
        <f>ROW()</f>
        <v>47</v>
      </c>
      <c r="B47" s="147" t="s">
        <v>107</v>
      </c>
      <c r="C47" s="191">
        <v>1</v>
      </c>
      <c r="D47" s="229">
        <v>0</v>
      </c>
      <c r="E47" s="190"/>
      <c r="F47" s="192">
        <f>+'Monthly Energy Allocators'!N77</f>
        <v>9191000</v>
      </c>
      <c r="G47" s="193"/>
      <c r="H47" s="193">
        <f>+'Monthly Energy Allocators'!N29</f>
        <v>8963000</v>
      </c>
      <c r="I47" s="194"/>
      <c r="J47" s="195"/>
      <c r="K47" s="194"/>
      <c r="L47" s="194"/>
      <c r="M47" s="194"/>
      <c r="N47" s="196"/>
      <c r="O47" s="195"/>
      <c r="P47" s="194"/>
      <c r="Q47" s="194"/>
      <c r="R47" s="194"/>
      <c r="S47" s="196"/>
      <c r="T47" s="194"/>
      <c r="U47" s="194"/>
      <c r="V47" s="194"/>
      <c r="W47" s="194"/>
      <c r="X47" s="196"/>
      <c r="Y47" s="194"/>
      <c r="Z47" s="207"/>
      <c r="AA47" s="208"/>
      <c r="AB47" s="206"/>
      <c r="AC47" s="125"/>
      <c r="AD47" s="123"/>
      <c r="AE47" s="123"/>
    </row>
    <row r="48" spans="1:31" ht="12" customHeight="1">
      <c r="A48" s="116">
        <f>ROW()</f>
        <v>48</v>
      </c>
      <c r="B48" s="147"/>
      <c r="C48" s="191"/>
      <c r="D48" s="229"/>
      <c r="E48" s="190"/>
      <c r="F48" s="199"/>
      <c r="G48" s="200"/>
      <c r="H48" s="200"/>
      <c r="I48" s="209"/>
      <c r="J48" s="210"/>
      <c r="K48" s="209"/>
      <c r="L48" s="209"/>
      <c r="M48" s="209"/>
      <c r="N48" s="203"/>
      <c r="O48" s="210"/>
      <c r="P48" s="209"/>
      <c r="Q48" s="209"/>
      <c r="R48" s="209"/>
      <c r="S48" s="203"/>
      <c r="T48" s="209"/>
      <c r="U48" s="209"/>
      <c r="V48" s="209"/>
      <c r="W48" s="209"/>
      <c r="X48" s="203"/>
      <c r="Y48" s="194"/>
      <c r="Z48" s="46"/>
      <c r="AA48" s="197"/>
      <c r="AB48" s="206"/>
      <c r="AC48" s="125"/>
      <c r="AD48" s="123"/>
      <c r="AE48" s="123"/>
    </row>
    <row r="49" spans="1:31" ht="12.75">
      <c r="A49" s="116">
        <f>ROW()</f>
        <v>49</v>
      </c>
      <c r="B49" s="162" t="s">
        <v>205</v>
      </c>
      <c r="C49" s="191"/>
      <c r="D49" s="229">
        <f>+D45+D47</f>
        <v>87289.50955387278</v>
      </c>
      <c r="E49" s="190"/>
      <c r="F49" s="192">
        <f>+F45+F47</f>
        <v>262030495.83248162</v>
      </c>
      <c r="G49" s="192"/>
      <c r="H49" s="192">
        <f>+H45+H47</f>
        <v>258713437.19</v>
      </c>
      <c r="I49" s="53"/>
      <c r="J49" s="97"/>
      <c r="K49" s="46"/>
      <c r="L49" s="46"/>
      <c r="M49" s="46"/>
      <c r="N49" s="55"/>
      <c r="O49" s="97"/>
      <c r="P49" s="46"/>
      <c r="Q49" s="46"/>
      <c r="R49" s="46"/>
      <c r="S49" s="55"/>
      <c r="T49" s="53"/>
      <c r="U49" s="53"/>
      <c r="V49" s="53"/>
      <c r="W49" s="53"/>
      <c r="X49" s="203"/>
      <c r="Y49" s="194"/>
      <c r="Z49" s="46"/>
      <c r="AA49" s="197"/>
      <c r="AB49" s="206"/>
      <c r="AC49" s="125"/>
      <c r="AD49" s="123"/>
      <c r="AE49" s="123"/>
    </row>
    <row r="50" spans="1:31" ht="8.25" customHeight="1">
      <c r="A50" s="116">
        <f>ROW()</f>
        <v>50</v>
      </c>
      <c r="B50" s="147"/>
      <c r="C50" s="191"/>
      <c r="D50" s="229"/>
      <c r="E50" s="190"/>
      <c r="F50" s="192"/>
      <c r="G50" s="193"/>
      <c r="H50" s="193"/>
      <c r="I50" s="194"/>
      <c r="J50" s="195"/>
      <c r="K50" s="194"/>
      <c r="L50" s="194"/>
      <c r="M50" s="194"/>
      <c r="N50" s="196"/>
      <c r="O50" s="195"/>
      <c r="P50" s="194"/>
      <c r="Q50" s="194"/>
      <c r="R50" s="194"/>
      <c r="S50" s="196"/>
      <c r="T50" s="194"/>
      <c r="U50" s="194"/>
      <c r="V50" s="194"/>
      <c r="W50" s="194"/>
      <c r="X50" s="196"/>
      <c r="Y50" s="194"/>
      <c r="Z50" s="46"/>
      <c r="AA50" s="197"/>
      <c r="AB50" s="206"/>
      <c r="AC50" s="125"/>
      <c r="AD50" s="123"/>
      <c r="AE50" s="123"/>
    </row>
    <row r="51" spans="1:31" ht="15">
      <c r="A51" s="116">
        <f>ROW()</f>
        <v>51</v>
      </c>
      <c r="B51" s="147" t="s">
        <v>31</v>
      </c>
      <c r="C51" s="191"/>
      <c r="D51" s="230">
        <f>+D39+D49+D36</f>
        <v>6649521.818629947</v>
      </c>
      <c r="E51" s="190"/>
      <c r="F51" s="211">
        <f>+F39+F49+F36</f>
        <v>11917082928</v>
      </c>
      <c r="G51" s="212"/>
      <c r="H51" s="213">
        <f>+H39+H49+H36</f>
        <v>11205581475.18699</v>
      </c>
      <c r="I51" s="270">
        <f>+I39+I45+I36</f>
        <v>453039402.99513185</v>
      </c>
      <c r="J51" s="276">
        <f>+J39+J45+J36</f>
        <v>27494314.1</v>
      </c>
      <c r="K51" s="275">
        <f>+K39+K45+K36</f>
        <v>15099200.051192103</v>
      </c>
      <c r="L51" s="275">
        <f>+L39+L45+L36</f>
        <v>7396147.848807899</v>
      </c>
      <c r="M51" s="275"/>
      <c r="N51" s="274">
        <f>+'Monthly Fuel Cost Allocation'!N9</f>
        <v>49989662</v>
      </c>
      <c r="O51" s="269">
        <f>+O39+O45+O36</f>
        <v>32834019.056999993</v>
      </c>
      <c r="P51" s="270">
        <f>+P39+P45+P36</f>
        <v>9850205.717099996</v>
      </c>
      <c r="Q51" s="270">
        <f>+Q39+Q45+Q36</f>
        <v>4221516.735899999</v>
      </c>
      <c r="R51" s="214"/>
      <c r="S51" s="215">
        <f>+'Monthly Fuel Cost Allocation'!N10</f>
        <v>46905741.50999999</v>
      </c>
      <c r="T51" s="271">
        <f>+T39+T45+T36</f>
        <v>549934806.505132</v>
      </c>
      <c r="U51" s="308">
        <f>+U39+U45+U36</f>
        <v>-452186</v>
      </c>
      <c r="V51" s="308">
        <f>+V39+V45+V37</f>
        <v>-2199999.9999999967</v>
      </c>
      <c r="W51" s="275">
        <f>+W39+W45+W36</f>
        <v>5152551.469999997</v>
      </c>
      <c r="X51" s="274">
        <f>+X39+X45+X36</f>
        <v>552435171.9751319</v>
      </c>
      <c r="Y51" s="194"/>
      <c r="Z51" s="46"/>
      <c r="AA51" s="216">
        <f>+AA39+AA45</f>
        <v>552435171.9751319</v>
      </c>
      <c r="AB51" s="198">
        <f>+AA51/H51*100</f>
        <v>4.930000046837491</v>
      </c>
      <c r="AC51" s="125"/>
      <c r="AD51" s="123"/>
      <c r="AE51" s="123"/>
    </row>
    <row r="52" spans="1:31" ht="7.5" customHeight="1">
      <c r="A52" s="116">
        <f>ROW()</f>
        <v>52</v>
      </c>
      <c r="B52" s="147"/>
      <c r="C52" s="140"/>
      <c r="D52" s="225"/>
      <c r="E52" s="156"/>
      <c r="F52" s="217"/>
      <c r="G52" s="169"/>
      <c r="H52" s="212"/>
      <c r="I52" s="28"/>
      <c r="J52" s="37"/>
      <c r="K52" s="38"/>
      <c r="L52" s="38"/>
      <c r="M52" s="38"/>
      <c r="N52" s="39"/>
      <c r="O52" s="37"/>
      <c r="P52" s="38"/>
      <c r="Q52" s="38"/>
      <c r="R52" s="38"/>
      <c r="S52" s="39"/>
      <c r="T52" s="28"/>
      <c r="U52" s="28"/>
      <c r="V52" s="28"/>
      <c r="W52" s="28"/>
      <c r="X52" s="29"/>
      <c r="Y52" s="18"/>
      <c r="Z52" s="123"/>
      <c r="AA52" s="150"/>
      <c r="AB52" s="76"/>
      <c r="AC52" s="125"/>
      <c r="AD52" s="123"/>
      <c r="AE52" s="123"/>
    </row>
    <row r="53" spans="1:31" ht="3.75" customHeight="1" thickBot="1">
      <c r="A53" s="116">
        <f>ROW()</f>
        <v>53</v>
      </c>
      <c r="B53" s="170"/>
      <c r="C53" s="171"/>
      <c r="D53" s="221"/>
      <c r="E53" s="172"/>
      <c r="F53" s="172"/>
      <c r="G53" s="172"/>
      <c r="H53" s="239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2"/>
      <c r="Y53" s="173"/>
      <c r="Z53" s="173"/>
      <c r="AA53" s="173"/>
      <c r="AB53" s="172"/>
      <c r="AC53" s="174"/>
      <c r="AD53" s="123"/>
      <c r="AE53" s="123"/>
    </row>
    <row r="54" spans="1:31" ht="12" customHeight="1" hidden="1" thickTop="1">
      <c r="A54" s="116">
        <f>ROW()</f>
        <v>54</v>
      </c>
      <c r="B54" s="123"/>
      <c r="C54" s="123"/>
      <c r="D54" s="123"/>
      <c r="E54" s="123"/>
      <c r="F54" s="123"/>
      <c r="G54" s="123"/>
      <c r="H54" s="46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</row>
    <row r="55" spans="1:31" ht="12.75" hidden="1">
      <c r="A55" s="116">
        <f>ROW()</f>
        <v>55</v>
      </c>
      <c r="B55" s="77" t="s">
        <v>99</v>
      </c>
      <c r="C55" s="77"/>
      <c r="D55" s="78">
        <f>+D36+D45</f>
        <v>130146.30955387278</v>
      </c>
      <c r="E55" s="77"/>
      <c r="F55" s="78">
        <f>+F36+F45</f>
        <v>429612743.89980304</v>
      </c>
      <c r="G55" s="78"/>
      <c r="H55" s="60">
        <f aca="true" t="shared" si="22" ref="H55:U55">+H36+H45</f>
        <v>424020983.19</v>
      </c>
      <c r="I55" s="175">
        <f t="shared" si="22"/>
        <v>12922875.570876822</v>
      </c>
      <c r="J55" s="175">
        <f t="shared" si="22"/>
        <v>0</v>
      </c>
      <c r="K55" s="175">
        <f t="shared" si="22"/>
        <v>0</v>
      </c>
      <c r="L55" s="175">
        <f t="shared" si="22"/>
        <v>0</v>
      </c>
      <c r="M55" s="175">
        <f t="shared" si="22"/>
        <v>0</v>
      </c>
      <c r="N55" s="175">
        <f t="shared" si="22"/>
        <v>0</v>
      </c>
      <c r="O55" s="175">
        <f t="shared" si="22"/>
        <v>0</v>
      </c>
      <c r="P55" s="175">
        <f t="shared" si="22"/>
        <v>0</v>
      </c>
      <c r="Q55" s="175">
        <f t="shared" si="22"/>
        <v>0</v>
      </c>
      <c r="R55" s="175">
        <f t="shared" si="22"/>
        <v>0</v>
      </c>
      <c r="S55" s="175">
        <f t="shared" si="22"/>
        <v>0</v>
      </c>
      <c r="T55" s="175">
        <f t="shared" si="22"/>
        <v>12922875.570876822</v>
      </c>
      <c r="U55" s="175">
        <f t="shared" si="22"/>
        <v>0</v>
      </c>
      <c r="V55" s="175"/>
      <c r="W55" s="175"/>
      <c r="X55" s="175">
        <f>+T55+U55</f>
        <v>12922875.570876822</v>
      </c>
      <c r="Y55" s="175"/>
      <c r="Z55" s="175"/>
      <c r="AA55" s="175">
        <f>+AA36+AA45</f>
        <v>12922875.570876822</v>
      </c>
      <c r="AB55" s="77"/>
      <c r="AC55" s="77"/>
      <c r="AD55" s="77"/>
      <c r="AE55" s="77"/>
    </row>
    <row r="56" spans="1:31" ht="12.75" hidden="1">
      <c r="A56" s="116">
        <f>ROW()</f>
        <v>56</v>
      </c>
      <c r="B56" s="77"/>
      <c r="C56" s="77"/>
      <c r="D56" s="77"/>
      <c r="E56" s="77"/>
      <c r="F56" s="77"/>
      <c r="G56" s="77"/>
      <c r="I56" s="175"/>
      <c r="J56" s="77"/>
      <c r="K56" s="77"/>
      <c r="L56" s="77"/>
      <c r="M56" s="77"/>
      <c r="N56" s="175"/>
      <c r="O56" s="175"/>
      <c r="P56" s="175"/>
      <c r="Q56" s="175"/>
      <c r="R56" s="175"/>
      <c r="S56" s="175"/>
      <c r="T56" s="175"/>
      <c r="U56" s="77"/>
      <c r="V56" s="77"/>
      <c r="W56" s="77"/>
      <c r="X56" s="175"/>
      <c r="Y56" s="77"/>
      <c r="Z56" s="77"/>
      <c r="AA56" s="77"/>
      <c r="AB56" s="77"/>
      <c r="AC56" s="77"/>
      <c r="AD56" s="77"/>
      <c r="AE56" s="77"/>
    </row>
    <row r="57" spans="1:31" ht="12.75" hidden="1">
      <c r="A57" s="116">
        <f>ROW()</f>
        <v>57</v>
      </c>
      <c r="B57" s="77" t="s">
        <v>110</v>
      </c>
      <c r="C57" s="77"/>
      <c r="D57" s="77"/>
      <c r="E57" s="77"/>
      <c r="F57" s="79">
        <f>+F34+F43</f>
        <v>368514198.0473443</v>
      </c>
      <c r="G57" s="79"/>
      <c r="H57" s="115">
        <f>+H34+H43</f>
        <v>363270546</v>
      </c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175">
        <f>+S51+N51</f>
        <v>96895403.50999999</v>
      </c>
      <c r="T57" s="175"/>
      <c r="U57" s="77"/>
      <c r="V57" s="77"/>
      <c r="W57" s="77"/>
      <c r="X57" s="175"/>
      <c r="Y57" s="77"/>
      <c r="Z57" s="77"/>
      <c r="AA57" s="77"/>
      <c r="AB57" s="77"/>
      <c r="AC57" s="77"/>
      <c r="AD57" s="77"/>
      <c r="AE57" s="77"/>
    </row>
    <row r="58" spans="1:31" ht="12.75" hidden="1">
      <c r="A58" s="116">
        <f>ROW()</f>
        <v>58</v>
      </c>
      <c r="B58" s="77" t="s">
        <v>111</v>
      </c>
      <c r="C58" s="77"/>
      <c r="D58" s="79">
        <f>+D51-D47</f>
        <v>6649521.818629947</v>
      </c>
      <c r="E58" s="77"/>
      <c r="F58" s="79">
        <f>+F51-F47</f>
        <v>11907891928</v>
      </c>
      <c r="G58" s="77"/>
      <c r="H58" s="115">
        <f>+H51-H47</f>
        <v>11196618475.18699</v>
      </c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</row>
    <row r="59" spans="1:31" ht="13.5" thickTop="1">
      <c r="A59" s="116"/>
      <c r="B59" s="77"/>
      <c r="C59" s="77"/>
      <c r="D59" s="77"/>
      <c r="E59" s="77"/>
      <c r="F59" s="77"/>
      <c r="G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</row>
    <row r="60" spans="1:31" ht="12.75">
      <c r="A60" s="116"/>
      <c r="B60" s="77"/>
      <c r="C60" s="77"/>
      <c r="D60" s="77"/>
      <c r="E60" s="77"/>
      <c r="F60" s="79"/>
      <c r="G60" s="77"/>
      <c r="H60" s="115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175"/>
      <c r="T60" s="175"/>
      <c r="U60" s="175"/>
      <c r="V60" s="77"/>
      <c r="W60" s="77"/>
      <c r="X60" s="175"/>
      <c r="Y60" s="77"/>
      <c r="Z60" s="77"/>
      <c r="AA60" s="77"/>
      <c r="AB60" s="77"/>
      <c r="AC60" s="77"/>
      <c r="AD60" s="77"/>
      <c r="AE60" s="77"/>
    </row>
    <row r="61" spans="1:31" ht="12.75">
      <c r="A61" s="116"/>
      <c r="B61" s="77"/>
      <c r="C61" s="77"/>
      <c r="D61" s="77"/>
      <c r="E61" s="77"/>
      <c r="F61" s="79"/>
      <c r="G61" s="77"/>
      <c r="H61" s="115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</row>
    <row r="62" spans="1:31" ht="12.75">
      <c r="A62" s="116"/>
      <c r="B62" s="77"/>
      <c r="C62" s="77"/>
      <c r="D62" s="77"/>
      <c r="E62" s="77"/>
      <c r="F62" s="77"/>
      <c r="G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</row>
    <row r="63" spans="1:31" ht="12.75">
      <c r="A63" s="116"/>
      <c r="B63" s="77"/>
      <c r="C63" s="77"/>
      <c r="D63" s="77"/>
      <c r="E63" s="77"/>
      <c r="F63" s="77"/>
      <c r="G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</row>
    <row r="64" spans="1:31" ht="12.75">
      <c r="A64" s="116"/>
      <c r="B64" s="77"/>
      <c r="C64" s="77"/>
      <c r="D64" s="77"/>
      <c r="E64" s="77"/>
      <c r="F64" s="77"/>
      <c r="G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</row>
    <row r="65" spans="1:31" ht="12.75">
      <c r="A65" s="116"/>
      <c r="B65" s="77"/>
      <c r="C65" s="77"/>
      <c r="D65" s="77"/>
      <c r="E65" s="77"/>
      <c r="F65" s="77"/>
      <c r="G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</row>
    <row r="66" spans="1:31" ht="12.75">
      <c r="A66" s="116"/>
      <c r="B66" s="77"/>
      <c r="C66" s="77"/>
      <c r="D66" s="77"/>
      <c r="E66" s="77"/>
      <c r="F66" s="77"/>
      <c r="G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</row>
    <row r="67" spans="1:31" ht="12.75">
      <c r="A67" s="116"/>
      <c r="B67" s="77"/>
      <c r="C67" s="77"/>
      <c r="D67" s="77"/>
      <c r="E67" s="77"/>
      <c r="F67" s="77"/>
      <c r="G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</row>
    <row r="68" spans="1:31" ht="12.75">
      <c r="A68" s="116"/>
      <c r="B68" s="77"/>
      <c r="C68" s="77"/>
      <c r="D68" s="77"/>
      <c r="E68" s="77"/>
      <c r="F68" s="77"/>
      <c r="G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</row>
    <row r="69" spans="1:31" ht="12.75">
      <c r="A69" s="116"/>
      <c r="B69" s="77"/>
      <c r="C69" s="77"/>
      <c r="D69" s="77"/>
      <c r="E69" s="77"/>
      <c r="F69" s="77"/>
      <c r="G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</row>
    <row r="70" spans="1:31" ht="12.75">
      <c r="A70" s="116"/>
      <c r="B70" s="77"/>
      <c r="C70" s="77"/>
      <c r="D70" s="77"/>
      <c r="E70" s="77"/>
      <c r="F70" s="77"/>
      <c r="G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</row>
    <row r="71" spans="1:31" ht="12.75">
      <c r="A71" s="116"/>
      <c r="B71" s="77"/>
      <c r="C71" s="77"/>
      <c r="D71" s="77"/>
      <c r="E71" s="77"/>
      <c r="F71" s="77"/>
      <c r="G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</row>
    <row r="72" spans="1:31" ht="12.75">
      <c r="A72" s="116"/>
      <c r="B72" s="77"/>
      <c r="C72" s="77"/>
      <c r="D72" s="77"/>
      <c r="E72" s="77"/>
      <c r="F72" s="77"/>
      <c r="G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</row>
    <row r="73" spans="1:31" ht="12.75">
      <c r="A73" s="116"/>
      <c r="B73" s="77"/>
      <c r="C73" s="77"/>
      <c r="D73" s="77"/>
      <c r="E73" s="77"/>
      <c r="F73" s="77"/>
      <c r="G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</row>
    <row r="74" spans="1:31" ht="12.75">
      <c r="A74" s="116"/>
      <c r="B74" s="77"/>
      <c r="C74" s="77"/>
      <c r="D74" s="77"/>
      <c r="E74" s="77"/>
      <c r="F74" s="77"/>
      <c r="G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</row>
    <row r="75" spans="1:31" ht="12.75">
      <c r="A75" s="116"/>
      <c r="B75" s="77"/>
      <c r="C75" s="77"/>
      <c r="D75" s="77"/>
      <c r="E75" s="77"/>
      <c r="F75" s="77"/>
      <c r="G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</row>
    <row r="76" spans="1:31" ht="12.75">
      <c r="A76" s="116"/>
      <c r="B76" s="77"/>
      <c r="C76" s="77"/>
      <c r="D76" s="77"/>
      <c r="E76" s="77"/>
      <c r="F76" s="77"/>
      <c r="G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</row>
    <row r="77" spans="1:31" ht="12.75">
      <c r="A77" s="116"/>
      <c r="B77" s="77"/>
      <c r="C77" s="77"/>
      <c r="D77" s="77"/>
      <c r="E77" s="77"/>
      <c r="F77" s="77"/>
      <c r="G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</row>
    <row r="78" spans="1:31" ht="12.75">
      <c r="A78" s="116"/>
      <c r="B78" s="77"/>
      <c r="C78" s="77"/>
      <c r="D78" s="77"/>
      <c r="E78" s="77"/>
      <c r="F78" s="77"/>
      <c r="G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</row>
    <row r="79" spans="1:31" ht="12.75">
      <c r="A79" s="116"/>
      <c r="B79" s="77"/>
      <c r="C79" s="77"/>
      <c r="D79" s="77"/>
      <c r="E79" s="77"/>
      <c r="F79" s="77"/>
      <c r="G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</row>
    <row r="80" spans="1:31" ht="12.75">
      <c r="A80" s="116"/>
      <c r="B80" s="77"/>
      <c r="C80" s="77"/>
      <c r="D80" s="77"/>
      <c r="E80" s="77"/>
      <c r="F80" s="77"/>
      <c r="G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</row>
    <row r="81" spans="1:31" ht="12.75">
      <c r="A81" s="116"/>
      <c r="B81" s="77"/>
      <c r="C81" s="77"/>
      <c r="D81" s="77"/>
      <c r="E81" s="77"/>
      <c r="F81" s="77"/>
      <c r="G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</row>
    <row r="82" spans="1:31" ht="12.75">
      <c r="A82" s="116"/>
      <c r="B82" s="77"/>
      <c r="C82" s="77"/>
      <c r="D82" s="77"/>
      <c r="E82" s="77"/>
      <c r="F82" s="77"/>
      <c r="G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</row>
    <row r="83" spans="1:31" ht="12.75">
      <c r="A83" s="116"/>
      <c r="B83" s="77"/>
      <c r="C83" s="77"/>
      <c r="D83" s="77"/>
      <c r="E83" s="77"/>
      <c r="F83" s="77"/>
      <c r="G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</row>
    <row r="84" spans="1:31" ht="12.75">
      <c r="A84" s="116"/>
      <c r="B84" s="77"/>
      <c r="C84" s="77"/>
      <c r="D84" s="77"/>
      <c r="E84" s="77"/>
      <c r="F84" s="77"/>
      <c r="G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</row>
    <row r="85" spans="1:31" ht="12.75">
      <c r="A85" s="116"/>
      <c r="B85" s="77"/>
      <c r="C85" s="77"/>
      <c r="D85" s="77"/>
      <c r="E85" s="77"/>
      <c r="F85" s="77"/>
      <c r="G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</row>
    <row r="86" spans="1:31" ht="12.75">
      <c r="A86" s="116"/>
      <c r="B86" s="77"/>
      <c r="C86" s="77"/>
      <c r="D86" s="77"/>
      <c r="E86" s="77"/>
      <c r="F86" s="77"/>
      <c r="G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</row>
    <row r="87" spans="1:31" ht="12.75">
      <c r="A87" s="116"/>
      <c r="B87" s="77"/>
      <c r="C87" s="77"/>
      <c r="D87" s="77"/>
      <c r="E87" s="77"/>
      <c r="F87" s="77"/>
      <c r="G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12.75">
      <c r="A88" s="116"/>
      <c r="B88" s="77"/>
      <c r="C88" s="77"/>
      <c r="D88" s="77"/>
      <c r="E88" s="77"/>
      <c r="F88" s="77"/>
      <c r="G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12.75">
      <c r="A89" s="116"/>
      <c r="B89" s="77"/>
      <c r="C89" s="77"/>
      <c r="D89" s="77"/>
      <c r="E89" s="77"/>
      <c r="F89" s="77"/>
      <c r="G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12.75">
      <c r="A90" s="116"/>
      <c r="B90" s="77"/>
      <c r="C90" s="77"/>
      <c r="D90" s="77"/>
      <c r="E90" s="77"/>
      <c r="F90" s="77"/>
      <c r="G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12.75">
      <c r="A91" s="116"/>
      <c r="B91" s="77"/>
      <c r="C91" s="77"/>
      <c r="D91" s="77"/>
      <c r="E91" s="77"/>
      <c r="F91" s="77"/>
      <c r="G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12.75">
      <c r="A92" s="116"/>
      <c r="B92" s="77"/>
      <c r="C92" s="77"/>
      <c r="D92" s="77"/>
      <c r="E92" s="77"/>
      <c r="F92" s="77"/>
      <c r="G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12.75">
      <c r="A93" s="116"/>
      <c r="B93" s="77"/>
      <c r="C93" s="77"/>
      <c r="D93" s="77"/>
      <c r="E93" s="77"/>
      <c r="F93" s="77"/>
      <c r="G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12.75">
      <c r="A94" s="116"/>
      <c r="B94" s="77"/>
      <c r="C94" s="77"/>
      <c r="D94" s="77"/>
      <c r="E94" s="77"/>
      <c r="F94" s="77"/>
      <c r="G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12.75">
      <c r="A95" s="116"/>
      <c r="B95" s="77"/>
      <c r="C95" s="77"/>
      <c r="D95" s="77"/>
      <c r="E95" s="77"/>
      <c r="F95" s="77"/>
      <c r="G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12.75">
      <c r="A96" s="116"/>
      <c r="B96" s="77"/>
      <c r="C96" s="77"/>
      <c r="D96" s="77"/>
      <c r="E96" s="77"/>
      <c r="F96" s="77"/>
      <c r="G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12.75">
      <c r="A97" s="116"/>
      <c r="B97" s="77"/>
      <c r="C97" s="77"/>
      <c r="D97" s="77"/>
      <c r="E97" s="77"/>
      <c r="F97" s="77"/>
      <c r="G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12.75">
      <c r="A98" s="116"/>
      <c r="B98" s="77"/>
      <c r="C98" s="77"/>
      <c r="D98" s="77"/>
      <c r="E98" s="77"/>
      <c r="F98" s="77"/>
      <c r="G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12.75">
      <c r="A99" s="116"/>
      <c r="B99" s="77"/>
      <c r="C99" s="77"/>
      <c r="D99" s="77"/>
      <c r="E99" s="77"/>
      <c r="F99" s="77"/>
      <c r="G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12.75">
      <c r="A100" s="116"/>
      <c r="B100" s="77"/>
      <c r="C100" s="77"/>
      <c r="D100" s="77"/>
      <c r="E100" s="77"/>
      <c r="F100" s="77"/>
      <c r="G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12.75">
      <c r="A101" s="116"/>
      <c r="B101" s="77"/>
      <c r="C101" s="77"/>
      <c r="D101" s="77"/>
      <c r="E101" s="77"/>
      <c r="F101" s="77"/>
      <c r="G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12.75">
      <c r="A102" s="116"/>
      <c r="B102" s="77"/>
      <c r="C102" s="77"/>
      <c r="D102" s="77"/>
      <c r="E102" s="77"/>
      <c r="F102" s="77"/>
      <c r="G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12.75">
      <c r="A103" s="116"/>
      <c r="B103" s="77"/>
      <c r="C103" s="77"/>
      <c r="D103" s="77"/>
      <c r="E103" s="77"/>
      <c r="F103" s="77"/>
      <c r="G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12.75">
      <c r="A104" s="116"/>
      <c r="B104" s="77"/>
      <c r="C104" s="77"/>
      <c r="D104" s="77"/>
      <c r="E104" s="77"/>
      <c r="F104" s="77"/>
      <c r="G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12.75">
      <c r="A105" s="116"/>
      <c r="B105" s="77"/>
      <c r="C105" s="77"/>
      <c r="D105" s="77"/>
      <c r="E105" s="77"/>
      <c r="F105" s="77"/>
      <c r="G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31" ht="12.75">
      <c r="A106" s="116"/>
      <c r="B106" s="77"/>
      <c r="C106" s="77"/>
      <c r="D106" s="77"/>
      <c r="E106" s="77"/>
      <c r="F106" s="77"/>
      <c r="G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</row>
    <row r="107" spans="1:31" ht="12.75">
      <c r="A107" s="116"/>
      <c r="B107" s="77"/>
      <c r="C107" s="77"/>
      <c r="D107" s="77"/>
      <c r="E107" s="77"/>
      <c r="F107" s="77"/>
      <c r="G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</row>
    <row r="108" spans="1:31" ht="12.75">
      <c r="A108" s="116"/>
      <c r="B108" s="77"/>
      <c r="C108" s="77"/>
      <c r="D108" s="77"/>
      <c r="E108" s="77"/>
      <c r="F108" s="77"/>
      <c r="G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</row>
    <row r="109" spans="1:31" ht="12.75">
      <c r="A109" s="116"/>
      <c r="B109" s="77"/>
      <c r="C109" s="77"/>
      <c r="D109" s="77"/>
      <c r="E109" s="77"/>
      <c r="F109" s="77"/>
      <c r="G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</row>
    <row r="110" spans="1:31" ht="12.75">
      <c r="A110" s="116"/>
      <c r="B110" s="77"/>
      <c r="C110" s="77"/>
      <c r="D110" s="77"/>
      <c r="E110" s="77"/>
      <c r="F110" s="77"/>
      <c r="G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</row>
    <row r="111" spans="1:31" ht="12.75">
      <c r="A111" s="116"/>
      <c r="B111" s="77"/>
      <c r="C111" s="77"/>
      <c r="D111" s="77"/>
      <c r="E111" s="77"/>
      <c r="F111" s="77"/>
      <c r="G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</row>
  </sheetData>
  <sheetProtection/>
  <mergeCells count="29">
    <mergeCell ref="C2:AB2"/>
    <mergeCell ref="C4:AB4"/>
    <mergeCell ref="Y10:AB10"/>
    <mergeCell ref="J11:N11"/>
    <mergeCell ref="Z11:Z13"/>
    <mergeCell ref="AA11:AA13"/>
    <mergeCell ref="X11:X13"/>
    <mergeCell ref="Y11:Y13"/>
    <mergeCell ref="T11:T13"/>
    <mergeCell ref="U11:U13"/>
    <mergeCell ref="S12:S13"/>
    <mergeCell ref="AB11:AB13"/>
    <mergeCell ref="O11:S11"/>
    <mergeCell ref="C11:C13"/>
    <mergeCell ref="H11:H13"/>
    <mergeCell ref="F12:F13"/>
    <mergeCell ref="G12:G13"/>
    <mergeCell ref="J12:J13"/>
    <mergeCell ref="K12:M12"/>
    <mergeCell ref="C10:H10"/>
    <mergeCell ref="I10:X10"/>
    <mergeCell ref="N12:N13"/>
    <mergeCell ref="D11:E11"/>
    <mergeCell ref="D12:D13"/>
    <mergeCell ref="E12:E13"/>
    <mergeCell ref="F11:G11"/>
    <mergeCell ref="I11:I13"/>
    <mergeCell ref="O12:O13"/>
    <mergeCell ref="P12:R12"/>
  </mergeCells>
  <printOptions/>
  <pageMargins left="0.2" right="0.2" top="0.27" bottom="0.41" header="0.17" footer="0.2"/>
  <pageSetup fitToHeight="1" fitToWidth="1" horizontalDpi="600" verticalDpi="600" orientation="landscape" paperSize="17" scale="39" r:id="rId1"/>
  <headerFooter alignWithMargins="0">
    <oddFooter>&amp;CPage &amp;P of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191"/>
  <sheetViews>
    <sheetView view="pageBreakPreview" zoomScale="60" zoomScalePageLayoutView="0" workbookViewId="0" topLeftCell="A25">
      <selection activeCell="A25" sqref="A1:IV16384"/>
    </sheetView>
  </sheetViews>
  <sheetFormatPr defaultColWidth="9.140625" defaultRowHeight="12.75"/>
  <cols>
    <col min="1" max="1" width="34.421875" style="313" bestFit="1" customWidth="1"/>
    <col min="2" max="2" width="14.140625" style="313" bestFit="1" customWidth="1"/>
    <col min="3" max="3" width="14.00390625" style="313" bestFit="1" customWidth="1"/>
    <col min="4" max="4" width="13.7109375" style="313" bestFit="1" customWidth="1"/>
    <col min="5" max="5" width="13.28125" style="313" bestFit="1" customWidth="1"/>
    <col min="6" max="6" width="13.421875" style="313" bestFit="1" customWidth="1"/>
    <col min="7" max="7" width="13.28125" style="313" bestFit="1" customWidth="1"/>
    <col min="8" max="8" width="13.7109375" style="313" bestFit="1" customWidth="1"/>
    <col min="9" max="9" width="14.140625" style="313" bestFit="1" customWidth="1"/>
    <col min="10" max="11" width="13.421875" style="313" bestFit="1" customWidth="1"/>
    <col min="12" max="12" width="13.7109375" style="313" bestFit="1" customWidth="1"/>
    <col min="13" max="13" width="13.421875" style="313" bestFit="1" customWidth="1"/>
    <col min="14" max="14" width="18.421875" style="313" bestFit="1" customWidth="1"/>
    <col min="15" max="16384" width="9.140625" style="313" customWidth="1"/>
  </cols>
  <sheetData>
    <row r="1" ht="12.75">
      <c r="A1" s="313" t="s">
        <v>268</v>
      </c>
    </row>
    <row r="2" ht="12.75">
      <c r="A2" s="313">
        <v>0</v>
      </c>
    </row>
    <row r="3" ht="12.75">
      <c r="A3" s="313" t="s">
        <v>269</v>
      </c>
    </row>
    <row r="4" ht="12.75">
      <c r="A4" s="313">
        <v>1.01373006584341</v>
      </c>
    </row>
    <row r="5" ht="12.75">
      <c r="A5" s="432" t="s">
        <v>270</v>
      </c>
    </row>
    <row r="6" ht="12.75">
      <c r="A6" s="313">
        <f>'Fuels Costs before Interest'!AB25-'Fuels Costs before Interest'!AB36</f>
        <v>-0.9904431094098838</v>
      </c>
    </row>
    <row r="7" spans="1:20" ht="12.75">
      <c r="A7" s="318"/>
      <c r="B7" s="312">
        <v>40544</v>
      </c>
      <c r="C7" s="312">
        <v>40575</v>
      </c>
      <c r="D7" s="312">
        <v>40603</v>
      </c>
      <c r="E7" s="312">
        <v>40634</v>
      </c>
      <c r="F7" s="312">
        <v>40664</v>
      </c>
      <c r="G7" s="312">
        <v>40695</v>
      </c>
      <c r="H7" s="312">
        <v>40725</v>
      </c>
      <c r="I7" s="312">
        <v>40756</v>
      </c>
      <c r="J7" s="312">
        <v>40787</v>
      </c>
      <c r="K7" s="312">
        <v>40817</v>
      </c>
      <c r="L7" s="312">
        <v>40848</v>
      </c>
      <c r="M7" s="312">
        <v>40878</v>
      </c>
      <c r="N7" s="311" t="s">
        <v>47</v>
      </c>
      <c r="O7" s="433"/>
      <c r="P7" s="433"/>
      <c r="Q7" s="433"/>
      <c r="R7" s="433"/>
      <c r="S7" s="433"/>
      <c r="T7" s="433"/>
    </row>
    <row r="8" spans="1:20" ht="12.75">
      <c r="A8" s="434" t="s">
        <v>207</v>
      </c>
      <c r="B8" s="435">
        <f>+'Data Inputs - 2011'!C2</f>
        <v>65446927.2</v>
      </c>
      <c r="C8" s="435">
        <f>+'Data Inputs - 2011'!D2</f>
        <v>55406557.2</v>
      </c>
      <c r="D8" s="435">
        <f>+'Data Inputs - 2011'!E2</f>
        <v>48531144.99999999</v>
      </c>
      <c r="E8" s="435">
        <f>+'Data Inputs - 2011'!F2</f>
        <v>44174995.300000004</v>
      </c>
      <c r="F8" s="435">
        <f>+'Data Inputs - 2011'!G2</f>
        <v>39583691.5</v>
      </c>
      <c r="G8" s="435">
        <f>+'Data Inputs - 2011'!H2</f>
        <v>42628139.800000004</v>
      </c>
      <c r="H8" s="435">
        <f>+'Data Inputs - 2011'!I2</f>
        <v>42911403.4</v>
      </c>
      <c r="I8" s="435">
        <f>+'Data Inputs - 2011'!J2</f>
        <v>45275849.99398545</v>
      </c>
      <c r="J8" s="435">
        <f>+'Data Inputs - 2011'!K2</f>
        <v>37619132.931146376</v>
      </c>
      <c r="K8" s="435">
        <f>+'Data Inputs - 2011'!L2</f>
        <v>39900147.800000004</v>
      </c>
      <c r="L8" s="435">
        <f>+'Data Inputs - 2011'!M2</f>
        <v>43724152.650000006</v>
      </c>
      <c r="M8" s="435">
        <f>+'Data Inputs - 2011'!N2</f>
        <v>44732663.73</v>
      </c>
      <c r="N8" s="436">
        <f aca="true" t="shared" si="0" ref="N8:N13">SUM(B8:M8)</f>
        <v>549934806.5051318</v>
      </c>
      <c r="O8" s="433"/>
      <c r="P8" s="433"/>
      <c r="Q8" s="433"/>
      <c r="R8" s="433"/>
      <c r="S8" s="433"/>
      <c r="T8" s="433"/>
    </row>
    <row r="9" spans="1:20" ht="12.75">
      <c r="A9" s="434" t="s">
        <v>112</v>
      </c>
      <c r="B9" s="435">
        <f>+'Data Inputs - 2011'!C3</f>
        <v>8302348</v>
      </c>
      <c r="C9" s="435">
        <f>+'Data Inputs - 2011'!D3</f>
        <v>4307533</v>
      </c>
      <c r="D9" s="435">
        <f>+'Data Inputs - 2011'!E3</f>
        <v>1948549</v>
      </c>
      <c r="E9" s="435">
        <f>+'Data Inputs - 2011'!F3</f>
        <v>5342028</v>
      </c>
      <c r="F9" s="435">
        <f>+'Data Inputs - 2011'!G3</f>
        <v>5724746</v>
      </c>
      <c r="G9" s="435">
        <f>+'Data Inputs - 2011'!H3</f>
        <v>3570261</v>
      </c>
      <c r="H9" s="435">
        <f>+'Data Inputs - 2011'!I3</f>
        <v>2978014</v>
      </c>
      <c r="I9" s="435">
        <f>+'Data Inputs - 2011'!J3</f>
        <v>3471935</v>
      </c>
      <c r="J9" s="435">
        <f>+'Data Inputs - 2011'!K3</f>
        <v>5770896</v>
      </c>
      <c r="K9" s="435">
        <f>+'Data Inputs - 2011'!L3</f>
        <v>2455576</v>
      </c>
      <c r="L9" s="435">
        <f>+'Data Inputs - 2011'!M3</f>
        <v>3109378</v>
      </c>
      <c r="M9" s="435">
        <f>+'Data Inputs - 2011'!N3</f>
        <v>3008398</v>
      </c>
      <c r="N9" s="436">
        <f t="shared" si="0"/>
        <v>49989662</v>
      </c>
      <c r="O9" s="433"/>
      <c r="P9" s="433"/>
      <c r="Q9" s="433"/>
      <c r="R9" s="433"/>
      <c r="S9" s="433"/>
      <c r="T9" s="433"/>
    </row>
    <row r="10" spans="1:20" ht="12.75">
      <c r="A10" s="434" t="s">
        <v>113</v>
      </c>
      <c r="B10" s="435">
        <f>+'Data Inputs - 2011'!C4</f>
        <v>2912068.2</v>
      </c>
      <c r="C10" s="435">
        <f>+'Data Inputs - 2011'!D4</f>
        <v>3137513.2</v>
      </c>
      <c r="D10" s="435">
        <f>+'Data Inputs - 2011'!E4</f>
        <v>4356541</v>
      </c>
      <c r="E10" s="435">
        <f>+'Data Inputs - 2011'!F4</f>
        <v>5620939.3</v>
      </c>
      <c r="F10" s="435">
        <f>+'Data Inputs - 2011'!G4</f>
        <v>3141181.5</v>
      </c>
      <c r="G10" s="435">
        <f>+'Data Inputs - 2011'!H4</f>
        <v>3463999.8</v>
      </c>
      <c r="H10" s="435">
        <f>+'Data Inputs - 2011'!I4</f>
        <v>3606964.4</v>
      </c>
      <c r="I10" s="435">
        <f>+'Data Inputs - 2011'!J4</f>
        <v>3131338</v>
      </c>
      <c r="J10" s="435">
        <f>+'Data Inputs - 2011'!K4</f>
        <v>2500936.93</v>
      </c>
      <c r="K10" s="435">
        <f>+'Data Inputs - 2011'!L4</f>
        <v>4951746.8</v>
      </c>
      <c r="L10" s="435">
        <f>+'Data Inputs - 2011'!M4</f>
        <v>4991504.65</v>
      </c>
      <c r="M10" s="435">
        <f>+'Data Inputs - 2011'!N4</f>
        <v>5091007.73</v>
      </c>
      <c r="N10" s="436">
        <f t="shared" si="0"/>
        <v>46905741.50999999</v>
      </c>
      <c r="O10" s="433"/>
      <c r="P10" s="433"/>
      <c r="Q10" s="433"/>
      <c r="R10" s="433"/>
      <c r="S10" s="433"/>
      <c r="T10" s="433"/>
    </row>
    <row r="11" spans="1:20" ht="12.75">
      <c r="A11" s="434" t="s">
        <v>48</v>
      </c>
      <c r="B11" s="315">
        <f>+B8-B9-B10</f>
        <v>54232511</v>
      </c>
      <c r="C11" s="315">
        <f aca="true" t="shared" si="1" ref="C11:L11">+C8-C9-C10</f>
        <v>47961511</v>
      </c>
      <c r="D11" s="315">
        <f t="shared" si="1"/>
        <v>42226054.99999999</v>
      </c>
      <c r="E11" s="315">
        <f t="shared" si="1"/>
        <v>33212028.000000004</v>
      </c>
      <c r="F11" s="315">
        <f t="shared" si="1"/>
        <v>30717764</v>
      </c>
      <c r="G11" s="315">
        <f t="shared" si="1"/>
        <v>35593879.00000001</v>
      </c>
      <c r="H11" s="315">
        <f t="shared" si="1"/>
        <v>36326425</v>
      </c>
      <c r="I11" s="315">
        <f t="shared" si="1"/>
        <v>38672576.99398545</v>
      </c>
      <c r="J11" s="315">
        <f t="shared" si="1"/>
        <v>29347300.001146376</v>
      </c>
      <c r="K11" s="315">
        <f t="shared" si="1"/>
        <v>32492825.000000004</v>
      </c>
      <c r="L11" s="315">
        <f t="shared" si="1"/>
        <v>35623270.00000001</v>
      </c>
      <c r="M11" s="315">
        <f>+M8-M9-M10</f>
        <v>36633258</v>
      </c>
      <c r="N11" s="436">
        <f t="shared" si="0"/>
        <v>453039402.99513185</v>
      </c>
      <c r="O11" s="433"/>
      <c r="P11" s="433"/>
      <c r="Q11" s="433"/>
      <c r="R11" s="433"/>
      <c r="S11" s="433"/>
      <c r="T11" s="433"/>
    </row>
    <row r="12" spans="1:20" ht="12.75">
      <c r="A12" s="434" t="s">
        <v>29</v>
      </c>
      <c r="B12" s="315">
        <f>+'Data Inputs - 2011'!C5</f>
        <v>9574</v>
      </c>
      <c r="C12" s="315">
        <f>+'Data Inputs - 2011'!D5</f>
        <v>1908</v>
      </c>
      <c r="D12" s="315">
        <f>+'Data Inputs - 2011'!E5</f>
        <v>34594</v>
      </c>
      <c r="E12" s="315">
        <f>+'Data Inputs - 2011'!F5</f>
        <v>1522</v>
      </c>
      <c r="F12" s="315">
        <f>+'Data Inputs - 2011'!G5</f>
        <v>6291</v>
      </c>
      <c r="G12" s="315">
        <f>+'Data Inputs - 2011'!H5</f>
        <v>143</v>
      </c>
      <c r="H12" s="315">
        <f>+'Data Inputs - 2011'!I5</f>
        <v>119472</v>
      </c>
      <c r="I12" s="315">
        <f>+'Data Inputs - 2011'!J5</f>
        <v>107832</v>
      </c>
      <c r="J12" s="315">
        <f>+'Data Inputs - 2011'!K5</f>
        <v>8262</v>
      </c>
      <c r="K12" s="315">
        <f>+'Data Inputs - 2011'!L5</f>
        <v>32836</v>
      </c>
      <c r="L12" s="315">
        <f>+'Data Inputs - 2011'!M5</f>
        <v>98744</v>
      </c>
      <c r="M12" s="315">
        <f>+'Data Inputs - 2011'!N5</f>
        <v>31008</v>
      </c>
      <c r="N12" s="436">
        <f t="shared" si="0"/>
        <v>452186</v>
      </c>
      <c r="O12" s="433"/>
      <c r="P12" s="433"/>
      <c r="Q12" s="433"/>
      <c r="R12" s="433"/>
      <c r="S12" s="433"/>
      <c r="T12" s="433"/>
    </row>
    <row r="13" spans="1:20" ht="12.75">
      <c r="A13" s="434" t="s">
        <v>102</v>
      </c>
      <c r="B13" s="437">
        <f>+'Data Inputs - 2011'!C48</f>
        <v>208000</v>
      </c>
      <c r="C13" s="437">
        <f>+'Data Inputs - 2011'!D48</f>
        <v>60000</v>
      </c>
      <c r="D13" s="437">
        <f>+'Data Inputs - 2011'!E48</f>
        <v>350000</v>
      </c>
      <c r="E13" s="437">
        <f>+'Data Inputs - 2011'!F48</f>
        <v>50000</v>
      </c>
      <c r="F13" s="437">
        <f>+'Data Inputs - 2011'!G48</f>
        <v>176000</v>
      </c>
      <c r="G13" s="437">
        <f>+'Data Inputs - 2011'!H48</f>
        <v>0</v>
      </c>
      <c r="H13" s="437">
        <f>+'Data Inputs - 2011'!I48</f>
        <v>1076000</v>
      </c>
      <c r="I13" s="437">
        <f>+'Data Inputs - 2011'!J48</f>
        <v>1230000</v>
      </c>
      <c r="J13" s="437">
        <f>+'Data Inputs - 2011'!K48</f>
        <v>276000</v>
      </c>
      <c r="K13" s="437">
        <f>+'Data Inputs - 2011'!L48</f>
        <v>966000</v>
      </c>
      <c r="L13" s="437">
        <f>+'Data Inputs - 2011'!M48</f>
        <v>3152000</v>
      </c>
      <c r="M13" s="437">
        <f>+'Data Inputs - 2011'!N48</f>
        <v>1419000</v>
      </c>
      <c r="N13" s="438">
        <f t="shared" si="0"/>
        <v>8963000</v>
      </c>
      <c r="O13" s="433"/>
      <c r="P13" s="433"/>
      <c r="Q13" s="433"/>
      <c r="R13" s="433"/>
      <c r="S13" s="433"/>
      <c r="T13" s="433"/>
    </row>
    <row r="14" spans="1:20" ht="12.75">
      <c r="A14" s="439"/>
      <c r="B14" s="315"/>
      <c r="C14" s="440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36"/>
      <c r="O14" s="433"/>
      <c r="P14" s="433"/>
      <c r="Q14" s="433"/>
      <c r="R14" s="433"/>
      <c r="S14" s="433"/>
      <c r="T14" s="433"/>
    </row>
    <row r="15" spans="1:20" ht="12.75">
      <c r="A15" s="441" t="s">
        <v>271</v>
      </c>
      <c r="B15" s="315"/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36"/>
      <c r="O15" s="433"/>
      <c r="P15" s="433"/>
      <c r="Q15" s="433"/>
      <c r="R15" s="433"/>
      <c r="S15" s="433"/>
      <c r="T15" s="433"/>
    </row>
    <row r="16" spans="1:20" ht="12.75">
      <c r="A16" s="442" t="s">
        <v>64</v>
      </c>
      <c r="B16" s="315"/>
      <c r="C16" s="440"/>
      <c r="D16" s="440"/>
      <c r="E16" s="440"/>
      <c r="F16" s="440"/>
      <c r="G16" s="440"/>
      <c r="H16" s="440"/>
      <c r="I16" s="440"/>
      <c r="J16" s="440"/>
      <c r="K16" s="440"/>
      <c r="L16" s="440"/>
      <c r="M16" s="440"/>
      <c r="N16" s="436"/>
      <c r="O16" s="433"/>
      <c r="P16" s="433"/>
      <c r="Q16" s="433"/>
      <c r="R16" s="433"/>
      <c r="S16" s="433"/>
      <c r="T16" s="433"/>
    </row>
    <row r="17" spans="1:20" ht="12.75">
      <c r="A17" s="443" t="s">
        <v>115</v>
      </c>
      <c r="B17" s="315"/>
      <c r="C17" s="440"/>
      <c r="D17" s="440"/>
      <c r="E17" s="440"/>
      <c r="F17" s="440"/>
      <c r="G17" s="440"/>
      <c r="H17" s="440"/>
      <c r="I17" s="440"/>
      <c r="J17" s="440"/>
      <c r="K17" s="440"/>
      <c r="L17" s="440"/>
      <c r="M17" s="440"/>
      <c r="N17" s="436"/>
      <c r="O17" s="433"/>
      <c r="P17" s="433"/>
      <c r="Q17" s="433"/>
      <c r="R17" s="433"/>
      <c r="S17" s="433"/>
      <c r="T17" s="433"/>
    </row>
    <row r="18" spans="1:20" ht="12.75">
      <c r="A18" s="443" t="s">
        <v>66</v>
      </c>
      <c r="B18" s="315">
        <f>'Data Inputs - 2011'!C15</f>
        <v>1978.9713499999978</v>
      </c>
      <c r="C18" s="315">
        <f>'Data Inputs - 2011'!D15</f>
        <v>75.785</v>
      </c>
      <c r="D18" s="315">
        <f>'Data Inputs - 2011'!E15</f>
        <v>472.685</v>
      </c>
      <c r="E18" s="315">
        <f>'Data Inputs - 2011'!F15</f>
        <v>2115.9800000000005</v>
      </c>
      <c r="F18" s="315">
        <f>'Data Inputs - 2011'!G15</f>
        <v>10266.74165</v>
      </c>
      <c r="G18" s="315">
        <f>'Data Inputs - 2011'!H15</f>
        <v>1613.0593000000017</v>
      </c>
      <c r="H18" s="315">
        <f>'Data Inputs - 2011'!I15</f>
        <v>11348.465</v>
      </c>
      <c r="I18" s="315">
        <f>'Data Inputs - 2011'!J15</f>
        <v>8791.58395</v>
      </c>
      <c r="J18" s="315">
        <f>'Data Inputs - 2011'!K15</f>
        <v>4172.264999999999</v>
      </c>
      <c r="K18" s="315">
        <f>'Data Inputs - 2011'!L15</f>
        <v>14835.857000000002</v>
      </c>
      <c r="L18" s="315">
        <f>'Data Inputs - 2011'!M15</f>
        <v>50114</v>
      </c>
      <c r="M18" s="315">
        <f>'Data Inputs - 2011'!N15</f>
        <v>4509</v>
      </c>
      <c r="N18" s="436">
        <f>SUM(B18:M18)</f>
        <v>110294.39325000001</v>
      </c>
      <c r="O18" s="433"/>
      <c r="P18" s="433"/>
      <c r="Q18" s="433"/>
      <c r="R18" s="433"/>
      <c r="S18" s="433"/>
      <c r="T18" s="433"/>
    </row>
    <row r="19" spans="1:20" ht="12.75">
      <c r="A19" s="443" t="s">
        <v>114</v>
      </c>
      <c r="B19" s="315">
        <f>'Data Inputs - 2011'!C14</f>
        <v>138.52799449999986</v>
      </c>
      <c r="C19" s="315">
        <f>'Data Inputs - 2011'!D14</f>
        <v>5.30495</v>
      </c>
      <c r="D19" s="315">
        <f>'Data Inputs - 2011'!E14</f>
        <v>33.087950000000006</v>
      </c>
      <c r="E19" s="315">
        <f>'Data Inputs - 2011'!F14</f>
        <v>148.11860000000001</v>
      </c>
      <c r="F19" s="315">
        <f>'Data Inputs - 2011'!G14</f>
        <v>718.6719155000001</v>
      </c>
      <c r="G19" s="315">
        <f>'Data Inputs - 2011'!H14</f>
        <v>112.91415100000012</v>
      </c>
      <c r="H19" s="315">
        <f>'Data Inputs - 2011'!I14</f>
        <v>794.39255</v>
      </c>
      <c r="I19" s="315">
        <f>'Data Inputs - 2011'!J14</f>
        <v>615.4108765</v>
      </c>
      <c r="J19" s="315">
        <f>'Data Inputs - 2011'!K14</f>
        <v>292.05855</v>
      </c>
      <c r="K19" s="315">
        <f>'Data Inputs - 2011'!L14</f>
        <v>1038.50999</v>
      </c>
      <c r="L19" s="315">
        <f>'Data Inputs - 2011'!M14</f>
        <v>3508</v>
      </c>
      <c r="M19" s="315">
        <f>'Data Inputs - 2011'!N14</f>
        <v>316</v>
      </c>
      <c r="N19" s="436">
        <f>SUM(B19:M19)</f>
        <v>7720.9975275</v>
      </c>
      <c r="O19" s="433"/>
      <c r="P19" s="433"/>
      <c r="Q19" s="433"/>
      <c r="R19" s="433"/>
      <c r="S19" s="433"/>
      <c r="T19" s="433"/>
    </row>
    <row r="20" spans="1:20" ht="12.75">
      <c r="A20" s="443" t="s">
        <v>67</v>
      </c>
      <c r="B20" s="315">
        <f>'Data Inputs - 2011'!C13</f>
        <v>-45481.0120055</v>
      </c>
      <c r="C20" s="315">
        <f>'Data Inputs - 2011'!D13</f>
        <v>-16454.805050000003</v>
      </c>
      <c r="D20" s="315">
        <f>'Data Inputs - 2011'!E13</f>
        <v>-10800.752049999997</v>
      </c>
      <c r="E20" s="315">
        <f>'Data Inputs - 2011'!F13</f>
        <v>8563.808599999997</v>
      </c>
      <c r="F20" s="315">
        <f>'Data Inputs - 2011'!G13</f>
        <v>111978.6019155</v>
      </c>
      <c r="G20" s="315">
        <f>'Data Inputs - 2011'!H13</f>
        <v>-1839.7458490000026</v>
      </c>
      <c r="H20" s="315">
        <f>'Data Inputs - 2011'!I13</f>
        <v>127757.98255000004</v>
      </c>
      <c r="I20" s="315">
        <f>'Data Inputs - 2011'!J13</f>
        <v>94484.20087649999</v>
      </c>
      <c r="J20" s="315">
        <f>'Data Inputs - 2011'!K13</f>
        <v>38163.01855</v>
      </c>
      <c r="K20" s="315">
        <f>'Data Inputs - 2011'!L13</f>
        <v>148257.08999</v>
      </c>
      <c r="L20" s="315">
        <f>'Data Inputs - 2011'!M13</f>
        <v>543681</v>
      </c>
      <c r="M20" s="315">
        <f>'Data Inputs - 2011'!N13</f>
        <v>-25122</v>
      </c>
      <c r="N20" s="436">
        <f>SUM(B20:M20)</f>
        <v>973187.3875275</v>
      </c>
      <c r="O20" s="433"/>
      <c r="P20" s="433"/>
      <c r="Q20" s="433"/>
      <c r="R20" s="433"/>
      <c r="S20" s="433"/>
      <c r="T20" s="433"/>
    </row>
    <row r="21" spans="1:20" ht="12.75">
      <c r="A21" s="443" t="s">
        <v>68</v>
      </c>
      <c r="B21" s="315">
        <f>'Data Inputs - 2011'!C17</f>
        <v>-47598.51135</v>
      </c>
      <c r="C21" s="315">
        <f>'Data Inputs - 2011'!D17</f>
        <v>-16535.895000000004</v>
      </c>
      <c r="D21" s="315">
        <f>'Data Inputs - 2011'!E17</f>
        <v>-11306.524999999996</v>
      </c>
      <c r="E21" s="315">
        <f>'Data Inputs - 2011'!F17</f>
        <v>6299.709999999996</v>
      </c>
      <c r="F21" s="315">
        <f>'Data Inputs - 2011'!G17</f>
        <v>100993.18835</v>
      </c>
      <c r="G21" s="315">
        <f>'Data Inputs - 2011'!H17</f>
        <v>-3565.7193000000043</v>
      </c>
      <c r="H21" s="315">
        <f>'Data Inputs - 2011'!I17</f>
        <v>115615.12500000004</v>
      </c>
      <c r="I21" s="315">
        <f>'Data Inputs - 2011'!J17</f>
        <v>85077.20605</v>
      </c>
      <c r="J21" s="315">
        <f>'Data Inputs - 2011'!K17</f>
        <v>33698.695</v>
      </c>
      <c r="K21" s="315">
        <f>'Data Inputs - 2011'!L17</f>
        <v>132382.72300000003</v>
      </c>
      <c r="L21" s="315">
        <f>'Data Inputs - 2011'!M17</f>
        <v>490059</v>
      </c>
      <c r="M21" s="315">
        <f>'Data Inputs - 2011'!N17</f>
        <v>-29947</v>
      </c>
      <c r="N21" s="436">
        <f>SUM(B21:M21)</f>
        <v>855171.99675</v>
      </c>
      <c r="O21" s="433"/>
      <c r="P21" s="433"/>
      <c r="Q21" s="433"/>
      <c r="R21" s="433"/>
      <c r="S21" s="433"/>
      <c r="T21" s="433"/>
    </row>
    <row r="22" spans="1:20" ht="12.75">
      <c r="A22" s="443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436"/>
      <c r="O22" s="433"/>
      <c r="P22" s="433"/>
      <c r="Q22" s="433"/>
      <c r="R22" s="433"/>
      <c r="S22" s="433"/>
      <c r="T22" s="433"/>
    </row>
    <row r="23" spans="1:20" ht="12.75">
      <c r="A23" s="444" t="s">
        <v>272</v>
      </c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436"/>
      <c r="O23" s="433"/>
      <c r="P23" s="433"/>
      <c r="Q23" s="433"/>
      <c r="R23" s="433"/>
      <c r="S23" s="433"/>
      <c r="T23" s="433"/>
    </row>
    <row r="24" spans="1:20" ht="12.75">
      <c r="A24" s="445" t="s">
        <v>121</v>
      </c>
      <c r="B24" s="315">
        <f>'Data Inputs - 2011'!C6</f>
        <v>9056.36802649504</v>
      </c>
      <c r="C24" s="315">
        <f>'Data Inputs - 2011'!D6</f>
        <v>9056.36802649504</v>
      </c>
      <c r="D24" s="315">
        <f>'Data Inputs - 2011'!E6</f>
        <v>9056.36802649504</v>
      </c>
      <c r="E24" s="315">
        <f>'Data Inputs - 2011'!F6</f>
        <v>9056.36802649504</v>
      </c>
      <c r="F24" s="315">
        <f>'Data Inputs - 2011'!G6</f>
        <v>9056.36802649504</v>
      </c>
      <c r="G24" s="315">
        <f>'Data Inputs - 2011'!H6</f>
        <v>9396.60858641477</v>
      </c>
      <c r="H24" s="315">
        <f>'Data Inputs - 2011'!I6</f>
        <v>9396.60858641477</v>
      </c>
      <c r="I24" s="315">
        <f>'Data Inputs - 2011'!J6</f>
        <v>9396.60858641477</v>
      </c>
      <c r="J24" s="315">
        <f>'Data Inputs - 2011'!K6</f>
        <v>9927.02571193174</v>
      </c>
      <c r="K24" s="315">
        <f>'Data Inputs - 2011'!L6</f>
        <v>9927.02571193174</v>
      </c>
      <c r="L24" s="315">
        <f>'Data Inputs - 2011'!M6</f>
        <v>9927.026</v>
      </c>
      <c r="M24" s="315">
        <f>'Data Inputs - 2011'!N6</f>
        <v>9927.026</v>
      </c>
      <c r="N24" s="436">
        <f>SUM(B24:M24)</f>
        <v>113179.76931558298</v>
      </c>
      <c r="O24" s="433"/>
      <c r="P24" s="433"/>
      <c r="Q24" s="433"/>
      <c r="R24" s="433"/>
      <c r="S24" s="433"/>
      <c r="T24" s="433"/>
    </row>
    <row r="25" spans="1:20" ht="12.75">
      <c r="A25" s="444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436"/>
      <c r="O25" s="433"/>
      <c r="P25" s="433"/>
      <c r="Q25" s="433"/>
      <c r="R25" s="433"/>
      <c r="S25" s="433"/>
      <c r="T25" s="433"/>
    </row>
    <row r="26" spans="1:20" ht="12.75">
      <c r="A26" s="444" t="s">
        <v>58</v>
      </c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436"/>
      <c r="O26" s="433"/>
      <c r="P26" s="433"/>
      <c r="Q26" s="433"/>
      <c r="R26" s="433"/>
      <c r="S26" s="433"/>
      <c r="T26" s="433"/>
    </row>
    <row r="27" spans="1:20" ht="12.75">
      <c r="A27" s="445" t="s">
        <v>65</v>
      </c>
      <c r="B27" s="315">
        <f>'Data Inputs - 2011'!C53</f>
        <v>159693344</v>
      </c>
      <c r="C27" s="315">
        <f>'Data Inputs - 2011'!D53</f>
        <v>150509400</v>
      </c>
      <c r="D27" s="315">
        <f>'Data Inputs - 2011'!E53</f>
        <v>169463371</v>
      </c>
      <c r="E27" s="315">
        <f>'Data Inputs - 2011'!F53</f>
        <v>169151051</v>
      </c>
      <c r="F27" s="315">
        <f>'Data Inputs - 2011'!G53</f>
        <v>178375532</v>
      </c>
      <c r="G27" s="315">
        <f>'Data Inputs - 2011'!H53</f>
        <v>156522315</v>
      </c>
      <c r="H27" s="315">
        <f>'Data Inputs - 2011'!I53</f>
        <v>178918489</v>
      </c>
      <c r="I27" s="315">
        <f>'Data Inputs - 2011'!J53</f>
        <v>163566049</v>
      </c>
      <c r="J27" s="315">
        <f>'Data Inputs - 2011'!K53</f>
        <v>85857834</v>
      </c>
      <c r="K27" s="315">
        <f>'Data Inputs - 2011'!L53</f>
        <v>25729147</v>
      </c>
      <c r="L27" s="315">
        <f>'Data Inputs - 2011'!M53</f>
        <v>19565350</v>
      </c>
      <c r="M27" s="315">
        <f>'Data Inputs - 2011'!N53</f>
        <v>17368086</v>
      </c>
      <c r="N27" s="436">
        <f>SUM(B27:M27)</f>
        <v>1474719968</v>
      </c>
      <c r="O27" s="433"/>
      <c r="P27" s="433"/>
      <c r="Q27" s="433"/>
      <c r="R27" s="433"/>
      <c r="S27" s="433"/>
      <c r="T27" s="433"/>
    </row>
    <row r="28" spans="1:20" ht="12.75">
      <c r="A28" s="445" t="s">
        <v>170</v>
      </c>
      <c r="B28" s="315">
        <f>'Data Inputs - 2011'!C54</f>
        <v>911840.5199999999</v>
      </c>
      <c r="C28" s="315">
        <f>'Data Inputs - 2011'!D54</f>
        <v>748427.42</v>
      </c>
      <c r="D28" s="315">
        <f>'Data Inputs - 2011'!E54</f>
        <v>967173.93</v>
      </c>
      <c r="E28" s="315">
        <f>'Data Inputs - 2011'!F54</f>
        <v>1082079.22</v>
      </c>
      <c r="F28" s="315">
        <f>'Data Inputs - 2011'!G54</f>
        <v>1231461.8499999999</v>
      </c>
      <c r="G28" s="315">
        <f>'Data Inputs - 2011'!H54</f>
        <v>891466.96</v>
      </c>
      <c r="H28" s="315">
        <f>'Data Inputs - 2011'!I54</f>
        <v>1185488.98</v>
      </c>
      <c r="I28" s="315">
        <f>'Data Inputs - 2011'!J54</f>
        <v>837950.6</v>
      </c>
      <c r="J28" s="315">
        <f>'Data Inputs - 2011'!K54</f>
        <v>315620.7</v>
      </c>
      <c r="K28" s="315">
        <f>'Data Inputs - 2011'!L54</f>
        <v>166058.16</v>
      </c>
      <c r="L28" s="315">
        <f>'Data Inputs - 2011'!M54</f>
        <v>126482.96</v>
      </c>
      <c r="M28" s="315">
        <f>'Data Inputs - 2011'!N54</f>
        <v>129809.58</v>
      </c>
      <c r="N28" s="436">
        <f>SUM(B28:M28)</f>
        <v>8593860.879999999</v>
      </c>
      <c r="O28" s="433"/>
      <c r="P28" s="433"/>
      <c r="Q28" s="433"/>
      <c r="R28" s="433"/>
      <c r="S28" s="433"/>
      <c r="T28" s="433"/>
    </row>
    <row r="29" spans="1:20" ht="12.75">
      <c r="A29" s="445" t="s">
        <v>171</v>
      </c>
      <c r="B29" s="315">
        <f>'Data Inputs - 2011'!C55</f>
        <v>-1382121.7523976963</v>
      </c>
      <c r="C29" s="315">
        <f>'Data Inputs - 2011'!D55</f>
        <v>-537284.2065489651</v>
      </c>
      <c r="D29" s="315">
        <f>'Data Inputs - 2011'!E55</f>
        <v>-556069.43</v>
      </c>
      <c r="E29" s="315">
        <f>'Data Inputs - 2011'!F55</f>
        <v>-465880.50847775594</v>
      </c>
      <c r="F29" s="315">
        <f>'Data Inputs - 2011'!G55</f>
        <v>-440559.5536879165</v>
      </c>
      <c r="G29" s="315">
        <f>'Data Inputs - 2011'!H55</f>
        <v>-875870.1575196779</v>
      </c>
      <c r="H29" s="315">
        <f>'Data Inputs - 2011'!I55</f>
        <v>-436122.0411785896</v>
      </c>
      <c r="I29" s="315">
        <f>'Data Inputs - 2011'!J55</f>
        <v>-743442.389338159</v>
      </c>
      <c r="J29" s="315">
        <f>'Data Inputs - 2011'!K55</f>
        <v>-462807.23000000004</v>
      </c>
      <c r="K29" s="315">
        <f>'Data Inputs - 2011'!L55</f>
        <v>-187649.36000000002</v>
      </c>
      <c r="L29" s="315">
        <f>'Data Inputs - 2011'!M55</f>
        <v>-284762.49</v>
      </c>
      <c r="M29" s="315">
        <f>'Data Inputs - 2011'!N55</f>
        <v>-245499.41999999998</v>
      </c>
      <c r="N29" s="436">
        <f>SUM(B29:M29)</f>
        <v>-6618068.539148761</v>
      </c>
      <c r="O29" s="433"/>
      <c r="P29" s="433"/>
      <c r="Q29" s="433"/>
      <c r="R29" s="433"/>
      <c r="S29" s="433"/>
      <c r="T29" s="433"/>
    </row>
    <row r="30" spans="1:20" ht="12.75">
      <c r="A30" s="444"/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436"/>
      <c r="O30" s="433"/>
      <c r="P30" s="433"/>
      <c r="Q30" s="433"/>
      <c r="R30" s="433"/>
      <c r="S30" s="433"/>
      <c r="T30" s="433"/>
    </row>
    <row r="31" spans="1:20" ht="12.75">
      <c r="A31" s="444" t="s">
        <v>273</v>
      </c>
      <c r="B31" s="315">
        <f>B21+B24+B28+B29</f>
        <v>-508823.3757212013</v>
      </c>
      <c r="C31" s="315">
        <f aca="true" t="shared" si="2" ref="C31:M31">C21+C24+C28+C29</f>
        <v>203663.68647753005</v>
      </c>
      <c r="D31" s="315">
        <f t="shared" si="2"/>
        <v>408854.3430264951</v>
      </c>
      <c r="E31" s="315">
        <f t="shared" si="2"/>
        <v>631554.789548739</v>
      </c>
      <c r="F31" s="315">
        <f t="shared" si="2"/>
        <v>900951.8526885783</v>
      </c>
      <c r="G31" s="315">
        <f t="shared" si="2"/>
        <v>21427.691766736796</v>
      </c>
      <c r="H31" s="315">
        <f t="shared" si="2"/>
        <v>874378.672407825</v>
      </c>
      <c r="I31" s="315">
        <f t="shared" si="2"/>
        <v>188982.02529825573</v>
      </c>
      <c r="J31" s="315">
        <f t="shared" si="2"/>
        <v>-103560.80928806827</v>
      </c>
      <c r="K31" s="315">
        <f t="shared" si="2"/>
        <v>120718.54871193177</v>
      </c>
      <c r="L31" s="315">
        <f t="shared" si="2"/>
        <v>341706.49600000004</v>
      </c>
      <c r="M31" s="315">
        <f t="shared" si="2"/>
        <v>-135709.81399999998</v>
      </c>
      <c r="N31" s="436">
        <f>SUM(B31:M31)</f>
        <v>2944144.106916823</v>
      </c>
      <c r="O31" s="433"/>
      <c r="P31" s="433"/>
      <c r="Q31" s="433"/>
      <c r="R31" s="433"/>
      <c r="S31" s="433"/>
      <c r="T31" s="433"/>
    </row>
    <row r="32" spans="1:20" ht="12.75">
      <c r="A32" s="439"/>
      <c r="B32" s="315"/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36"/>
      <c r="O32" s="433"/>
      <c r="P32" s="433"/>
      <c r="Q32" s="433"/>
      <c r="R32" s="433"/>
      <c r="S32" s="433"/>
      <c r="T32" s="433"/>
    </row>
    <row r="33" spans="1:20" ht="12.75">
      <c r="A33" s="444" t="s">
        <v>274</v>
      </c>
      <c r="B33" s="315"/>
      <c r="C33" s="440"/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36"/>
      <c r="O33" s="433"/>
      <c r="P33" s="433"/>
      <c r="Q33" s="433"/>
      <c r="R33" s="433"/>
      <c r="S33" s="433"/>
      <c r="T33" s="433"/>
    </row>
    <row r="34" spans="1:20" ht="12.75">
      <c r="A34" s="443" t="s">
        <v>208</v>
      </c>
      <c r="B34" s="315">
        <f>B11-B31</f>
        <v>54741334.3757212</v>
      </c>
      <c r="C34" s="315">
        <f aca="true" t="shared" si="3" ref="C34:M34">C11-C31</f>
        <v>47757847.31352247</v>
      </c>
      <c r="D34" s="315">
        <f t="shared" si="3"/>
        <v>41817200.656973496</v>
      </c>
      <c r="E34" s="315">
        <f t="shared" si="3"/>
        <v>32580473.210451264</v>
      </c>
      <c r="F34" s="315">
        <f t="shared" si="3"/>
        <v>29816812.147311423</v>
      </c>
      <c r="G34" s="315">
        <f t="shared" si="3"/>
        <v>35572451.30823327</v>
      </c>
      <c r="H34" s="315">
        <f t="shared" si="3"/>
        <v>35452046.32759217</v>
      </c>
      <c r="I34" s="315">
        <f t="shared" si="3"/>
        <v>38483594.9686872</v>
      </c>
      <c r="J34" s="315">
        <f t="shared" si="3"/>
        <v>29450860.810434446</v>
      </c>
      <c r="K34" s="315">
        <f t="shared" si="3"/>
        <v>32372106.45128807</v>
      </c>
      <c r="L34" s="315">
        <f t="shared" si="3"/>
        <v>35281563.50400001</v>
      </c>
      <c r="M34" s="315">
        <f t="shared" si="3"/>
        <v>36768967.814</v>
      </c>
      <c r="N34" s="436">
        <f>SUM(B34:M34)</f>
        <v>450095258.888215</v>
      </c>
      <c r="O34" s="433"/>
      <c r="P34" s="433"/>
      <c r="Q34" s="433"/>
      <c r="R34" s="433"/>
      <c r="S34" s="433"/>
      <c r="T34" s="433"/>
    </row>
    <row r="35" spans="1:20" ht="12.75">
      <c r="A35" s="443" t="s">
        <v>124</v>
      </c>
      <c r="B35" s="315">
        <f>B9</f>
        <v>8302348</v>
      </c>
      <c r="C35" s="315">
        <f aca="true" t="shared" si="4" ref="C35:M35">C9</f>
        <v>4307533</v>
      </c>
      <c r="D35" s="315">
        <f t="shared" si="4"/>
        <v>1948549</v>
      </c>
      <c r="E35" s="315">
        <f t="shared" si="4"/>
        <v>5342028</v>
      </c>
      <c r="F35" s="315">
        <f t="shared" si="4"/>
        <v>5724746</v>
      </c>
      <c r="G35" s="315">
        <f t="shared" si="4"/>
        <v>3570261</v>
      </c>
      <c r="H35" s="315">
        <f t="shared" si="4"/>
        <v>2978014</v>
      </c>
      <c r="I35" s="315">
        <f t="shared" si="4"/>
        <v>3471935</v>
      </c>
      <c r="J35" s="315">
        <f t="shared" si="4"/>
        <v>5770896</v>
      </c>
      <c r="K35" s="315">
        <f t="shared" si="4"/>
        <v>2455576</v>
      </c>
      <c r="L35" s="315">
        <f t="shared" si="4"/>
        <v>3109378</v>
      </c>
      <c r="M35" s="315">
        <f t="shared" si="4"/>
        <v>3008398</v>
      </c>
      <c r="N35" s="436">
        <f>SUM(B35:M35)</f>
        <v>49989662</v>
      </c>
      <c r="O35" s="433"/>
      <c r="P35" s="433"/>
      <c r="Q35" s="433"/>
      <c r="R35" s="433"/>
      <c r="S35" s="433"/>
      <c r="T35" s="433"/>
    </row>
    <row r="36" spans="1:20" ht="12.75">
      <c r="A36" s="443" t="s">
        <v>123</v>
      </c>
      <c r="B36" s="315">
        <f>B10</f>
        <v>2912068.2</v>
      </c>
      <c r="C36" s="315">
        <f aca="true" t="shared" si="5" ref="C36:M36">C10</f>
        <v>3137513.2</v>
      </c>
      <c r="D36" s="315">
        <f t="shared" si="5"/>
        <v>4356541</v>
      </c>
      <c r="E36" s="315">
        <f t="shared" si="5"/>
        <v>5620939.3</v>
      </c>
      <c r="F36" s="315">
        <f t="shared" si="5"/>
        <v>3141181.5</v>
      </c>
      <c r="G36" s="315">
        <f t="shared" si="5"/>
        <v>3463999.8</v>
      </c>
      <c r="H36" s="315">
        <f t="shared" si="5"/>
        <v>3606964.4</v>
      </c>
      <c r="I36" s="315">
        <f t="shared" si="5"/>
        <v>3131338</v>
      </c>
      <c r="J36" s="315">
        <f t="shared" si="5"/>
        <v>2500936.93</v>
      </c>
      <c r="K36" s="315">
        <f t="shared" si="5"/>
        <v>4951746.8</v>
      </c>
      <c r="L36" s="315">
        <f t="shared" si="5"/>
        <v>4991504.65</v>
      </c>
      <c r="M36" s="315">
        <f t="shared" si="5"/>
        <v>5091007.73</v>
      </c>
      <c r="N36" s="436">
        <f>SUM(B36:M36)</f>
        <v>46905741.50999999</v>
      </c>
      <c r="O36" s="433"/>
      <c r="P36" s="433"/>
      <c r="Q36" s="433"/>
      <c r="R36" s="433"/>
      <c r="S36" s="433"/>
      <c r="T36" s="433"/>
    </row>
    <row r="37" spans="1:20" ht="12.75">
      <c r="A37" s="444" t="s">
        <v>47</v>
      </c>
      <c r="B37" s="315">
        <f>SUM(B34:B36)</f>
        <v>65955750.575721204</v>
      </c>
      <c r="C37" s="315">
        <f aca="true" t="shared" si="6" ref="C37:M37">SUM(C34:C36)</f>
        <v>55202893.513522476</v>
      </c>
      <c r="D37" s="315">
        <f t="shared" si="6"/>
        <v>48122290.656973496</v>
      </c>
      <c r="E37" s="315">
        <f t="shared" si="6"/>
        <v>43543440.51045126</v>
      </c>
      <c r="F37" s="315">
        <f t="shared" si="6"/>
        <v>38682739.64731142</v>
      </c>
      <c r="G37" s="315">
        <f t="shared" si="6"/>
        <v>42606712.108233266</v>
      </c>
      <c r="H37" s="315">
        <f t="shared" si="6"/>
        <v>42037024.72759217</v>
      </c>
      <c r="I37" s="315">
        <f t="shared" si="6"/>
        <v>45086867.9686872</v>
      </c>
      <c r="J37" s="315">
        <f t="shared" si="6"/>
        <v>37722693.740434445</v>
      </c>
      <c r="K37" s="315">
        <f t="shared" si="6"/>
        <v>39779429.25128807</v>
      </c>
      <c r="L37" s="315">
        <f t="shared" si="6"/>
        <v>43382446.15400001</v>
      </c>
      <c r="M37" s="315">
        <f t="shared" si="6"/>
        <v>44868373.544</v>
      </c>
      <c r="N37" s="436">
        <f>SUM(B37:M37)</f>
        <v>546990662.3982149</v>
      </c>
      <c r="O37" s="433"/>
      <c r="P37" s="433"/>
      <c r="Q37" s="433"/>
      <c r="R37" s="433"/>
      <c r="S37" s="433"/>
      <c r="T37" s="433"/>
    </row>
    <row r="38" spans="1:20" ht="12.75">
      <c r="A38" s="439"/>
      <c r="B38" s="315"/>
      <c r="C38" s="440"/>
      <c r="D38" s="440"/>
      <c r="E38" s="440"/>
      <c r="F38" s="440"/>
      <c r="G38" s="440"/>
      <c r="H38" s="440"/>
      <c r="I38" s="440"/>
      <c r="J38" s="440"/>
      <c r="K38" s="440"/>
      <c r="L38" s="440"/>
      <c r="M38" s="440"/>
      <c r="N38" s="436"/>
      <c r="O38" s="433"/>
      <c r="P38" s="433"/>
      <c r="Q38" s="433"/>
      <c r="R38" s="433"/>
      <c r="S38" s="433"/>
      <c r="T38" s="433"/>
    </row>
    <row r="39" spans="1:20" ht="12.75">
      <c r="A39" s="446" t="s">
        <v>83</v>
      </c>
      <c r="B39" s="315"/>
      <c r="C39" s="440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36"/>
      <c r="O39" s="433"/>
      <c r="P39" s="433"/>
      <c r="Q39" s="433"/>
      <c r="R39" s="433"/>
      <c r="S39" s="433"/>
      <c r="T39" s="433"/>
    </row>
    <row r="40" spans="1:20" ht="12.75">
      <c r="A40" s="447" t="s">
        <v>275</v>
      </c>
      <c r="B40" s="315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448"/>
      <c r="O40" s="433"/>
      <c r="P40" s="433"/>
      <c r="Q40" s="433"/>
      <c r="R40" s="433"/>
      <c r="S40" s="433"/>
      <c r="T40" s="433"/>
    </row>
    <row r="41" spans="1:20" ht="12.75">
      <c r="A41" s="445" t="s">
        <v>276</v>
      </c>
      <c r="B41" s="315">
        <f>B$35*'Monthly Energy Allocators'!B141*'Monthly Fuel Cost Allocation'!$A$4*'Monthly Fuel Cost Allocation'!$A$2+(1-'Monthly Fuel Cost Allocation'!$A$2)*'Data Inputs - 2011'!C16</f>
        <v>887415.48</v>
      </c>
      <c r="C41" s="315">
        <f>C$35*'Monthly Energy Allocators'!C141*'Monthly Fuel Cost Allocation'!$A$4*'Monthly Fuel Cost Allocation'!$A$2+(1-'Monthly Fuel Cost Allocation'!$A$2)*'Data Inputs - 2011'!D16</f>
        <v>714261.24</v>
      </c>
      <c r="D41" s="315">
        <f>D$35*'Monthly Energy Allocators'!D141*'Monthly Fuel Cost Allocation'!$A$4*'Monthly Fuel Cost Allocation'!$A$2+(1-'Monthly Fuel Cost Allocation'!$A$2)*'Data Inputs - 2011'!E16</f>
        <v>885010.5599999999</v>
      </c>
      <c r="E41" s="315">
        <f>E$35*'Monthly Energy Allocators'!E141*'Monthly Fuel Cost Allocation'!$A$4*'Monthly Fuel Cost Allocation'!$A$2+(1-'Monthly Fuel Cost Allocation'!$A$2)*'Data Inputs - 2011'!F16</f>
        <v>829697.4</v>
      </c>
      <c r="F41" s="315">
        <f>F$35*'Monthly Energy Allocators'!F141*'Monthly Fuel Cost Allocation'!$A$4*'Monthly Fuel Cost Allocation'!$A$2+(1-'Monthly Fuel Cost Allocation'!$A$2)*'Data Inputs - 2011'!G16</f>
        <v>887415.48</v>
      </c>
      <c r="G41" s="315">
        <f>G$35*'Monthly Energy Allocators'!G141*'Monthly Fuel Cost Allocation'!$A$4*'Monthly Fuel Cost Allocation'!$A$2+(1-'Monthly Fuel Cost Allocation'!$A$2)*'Data Inputs - 2011'!H16</f>
        <v>829697.4</v>
      </c>
      <c r="H41" s="315">
        <f>H$35*'Monthly Energy Allocators'!H141*'Monthly Fuel Cost Allocation'!$A$4*'Monthly Fuel Cost Allocation'!$A$2+(1-'Monthly Fuel Cost Allocation'!$A$2)*'Data Inputs - 2011'!I16</f>
        <v>887415.48</v>
      </c>
      <c r="I41" s="315">
        <f>I$35*'Monthly Energy Allocators'!I141*'Monthly Fuel Cost Allocation'!$A$4*'Monthly Fuel Cost Allocation'!$A$2+(1-'Monthly Fuel Cost Allocation'!$A$2)*'Data Inputs - 2011'!J16</f>
        <v>887415.48</v>
      </c>
      <c r="J41" s="315">
        <f>J$35*'Monthly Energy Allocators'!J141*'Monthly Fuel Cost Allocation'!$A$4*'Monthly Fuel Cost Allocation'!$A$2+(1-'Monthly Fuel Cost Allocation'!$A$2)*'Data Inputs - 2011'!K16</f>
        <v>829697.4</v>
      </c>
      <c r="K41" s="315">
        <f>K$35*'Monthly Energy Allocators'!K141*'Monthly Fuel Cost Allocation'!$A$4*'Monthly Fuel Cost Allocation'!$A$2+(1-'Monthly Fuel Cost Allocation'!$A$2)*'Data Inputs - 2011'!L16</f>
        <v>887415.48</v>
      </c>
      <c r="L41" s="315">
        <f>L$35*'Monthly Energy Allocators'!L141*'Monthly Fuel Cost Allocation'!$A$4*'Monthly Fuel Cost Allocation'!$A$2+(1-'Monthly Fuel Cost Allocation'!$A$2)*'Data Inputs - 2011'!M16</f>
        <v>577982.44</v>
      </c>
      <c r="M41" s="315">
        <f>M$35*'Monthly Energy Allocators'!M141*'Monthly Fuel Cost Allocation'!$A$4*'Monthly Fuel Cost Allocation'!$A$2+(1-'Monthly Fuel Cost Allocation'!$A$2)*'Data Inputs - 2011'!N16</f>
        <v>875307.62396</v>
      </c>
      <c r="N41" s="448">
        <f>SUM(B41:M41)</f>
        <v>9978731.463960001</v>
      </c>
      <c r="O41" s="433"/>
      <c r="P41" s="433"/>
      <c r="Q41" s="433"/>
      <c r="R41" s="433"/>
      <c r="S41" s="433"/>
      <c r="T41" s="433"/>
    </row>
    <row r="42" spans="1:20" ht="12.75">
      <c r="A42" s="445" t="s">
        <v>277</v>
      </c>
      <c r="B42" s="315"/>
      <c r="C42" s="440"/>
      <c r="D42" s="440"/>
      <c r="E42" s="440"/>
      <c r="F42" s="440"/>
      <c r="G42" s="440"/>
      <c r="H42" s="440"/>
      <c r="I42" s="440"/>
      <c r="J42" s="440"/>
      <c r="K42" s="440"/>
      <c r="L42" s="440"/>
      <c r="M42" s="440"/>
      <c r="N42" s="436"/>
      <c r="O42" s="433"/>
      <c r="P42" s="433"/>
      <c r="Q42" s="433"/>
      <c r="R42" s="433"/>
      <c r="S42" s="433"/>
      <c r="T42" s="433"/>
    </row>
    <row r="43" spans="1:20" ht="12.75">
      <c r="A43" s="445" t="s">
        <v>278</v>
      </c>
      <c r="B43" s="315">
        <f>'Fuels Costs before Interest'!$J$31*'Fuels Costs before Interest'!$G$31*'Fuels Costs before Interest'!E$34*'Monthly Fuel Cost Allocation'!B35*'Monthly Fuel Cost Allocation'!$A$2*$A$4</f>
        <v>0</v>
      </c>
      <c r="C43" s="315">
        <f>'Fuels Costs before Interest'!$J$31*'Fuels Costs before Interest'!$G$31*'Fuels Costs before Interest'!F$34*'Monthly Fuel Cost Allocation'!C35*'Monthly Fuel Cost Allocation'!$A$2*$A$4</f>
        <v>0</v>
      </c>
      <c r="D43" s="315">
        <f>'Fuels Costs before Interest'!$J$31*'Fuels Costs before Interest'!$G$31*'Fuels Costs before Interest'!G$34*'Monthly Fuel Cost Allocation'!D35*'Monthly Fuel Cost Allocation'!$A$2*$A$4</f>
        <v>0</v>
      </c>
      <c r="E43" s="315">
        <f>'Fuels Costs before Interest'!$J$31*'Fuels Costs before Interest'!$G$31*'Fuels Costs before Interest'!H$34*'Monthly Fuel Cost Allocation'!E35*'Monthly Fuel Cost Allocation'!$A$2*$A$4</f>
        <v>0</v>
      </c>
      <c r="F43" s="315">
        <f>'Fuels Costs before Interest'!$J$31*'Fuels Costs before Interest'!$G$31*'Fuels Costs before Interest'!I$34*'Monthly Fuel Cost Allocation'!F35*'Monthly Fuel Cost Allocation'!$A$2*$A$4</f>
        <v>0</v>
      </c>
      <c r="G43" s="315">
        <f>'Fuels Costs before Interest'!$J$31*'Fuels Costs before Interest'!$G$31*'Fuels Costs before Interest'!J$34*'Monthly Fuel Cost Allocation'!G35*'Monthly Fuel Cost Allocation'!$A$2*$A$4</f>
        <v>0</v>
      </c>
      <c r="H43" s="315">
        <f>'Fuels Costs before Interest'!$J$31*'Fuels Costs before Interest'!$G$31*'Fuels Costs before Interest'!K$34*'Monthly Fuel Cost Allocation'!H35*'Monthly Fuel Cost Allocation'!$A$2*$A$4</f>
        <v>0</v>
      </c>
      <c r="I43" s="315">
        <f>'Fuels Costs before Interest'!$J$31*'Fuels Costs before Interest'!$G$31*'Fuels Costs before Interest'!L$34*'Monthly Fuel Cost Allocation'!I35*'Monthly Fuel Cost Allocation'!$A$2*$A$4</f>
        <v>0</v>
      </c>
      <c r="J43" s="315">
        <f>'Fuels Costs before Interest'!$J$31*'Fuels Costs before Interest'!$G$31*'Fuels Costs before Interest'!M$34*'Monthly Fuel Cost Allocation'!J35*'Monthly Fuel Cost Allocation'!$A$2*$A$4</f>
        <v>0</v>
      </c>
      <c r="K43" s="315">
        <f>'Fuels Costs before Interest'!$J$31*'Fuels Costs before Interest'!$G$31*'Fuels Costs before Interest'!N$34*'Monthly Fuel Cost Allocation'!K35*'Monthly Fuel Cost Allocation'!$A$2*$A$4</f>
        <v>0</v>
      </c>
      <c r="L43" s="315">
        <f>'Fuels Costs before Interest'!$J$31*'Fuels Costs before Interest'!$G$31*'Fuels Costs before Interest'!O$34*'Monthly Fuel Cost Allocation'!L35*'Monthly Fuel Cost Allocation'!$A$2*$A$4</f>
        <v>0</v>
      </c>
      <c r="M43" s="315">
        <f>'Fuels Costs before Interest'!$J$31*'Fuels Costs before Interest'!$G$31*'Fuels Costs before Interest'!P$34*'Monthly Fuel Cost Allocation'!M35*'Monthly Fuel Cost Allocation'!$A$2*$A$4</f>
        <v>0</v>
      </c>
      <c r="N43" s="315">
        <f>'Fuels Costs before Interest'!$J$31*'Fuels Costs before Interest'!$G$31*'Fuels Costs before Interest'!Q$34*'Monthly Fuel Cost Allocation'!N35*'Monthly Fuel Cost Allocation'!$A$2*$A$4</f>
        <v>0</v>
      </c>
      <c r="O43" s="433"/>
      <c r="P43" s="433"/>
      <c r="Q43" s="433"/>
      <c r="R43" s="433"/>
      <c r="S43" s="433"/>
      <c r="T43" s="433"/>
    </row>
    <row r="44" spans="1:20" ht="12.75">
      <c r="A44" s="445" t="s">
        <v>279</v>
      </c>
      <c r="B44" s="315">
        <f>'Fuels Costs before Interest'!$M$31*'Fuels Costs before Interest'!$K$31*'Fuels Costs before Interest'!$G$34*'Monthly Fuel Cost Allocation'!B$35*'Monthly Fuel Cost Allocation'!$A$2*'Monthly Fuel Cost Allocation'!$A$4</f>
        <v>0</v>
      </c>
      <c r="C44" s="315">
        <f>'Fuels Costs before Interest'!$M$31*'Fuels Costs before Interest'!$K$31*'Fuels Costs before Interest'!$G$34*'Monthly Fuel Cost Allocation'!C$35*'Monthly Fuel Cost Allocation'!$A$2*'Monthly Fuel Cost Allocation'!$A$4</f>
        <v>0</v>
      </c>
      <c r="D44" s="315">
        <f>'Fuels Costs before Interest'!$M$31*'Fuels Costs before Interest'!$K$31*'Fuels Costs before Interest'!$G$34*'Monthly Fuel Cost Allocation'!D$35*'Monthly Fuel Cost Allocation'!$A$2*'Monthly Fuel Cost Allocation'!$A$4</f>
        <v>0</v>
      </c>
      <c r="E44" s="315">
        <f>'Fuels Costs before Interest'!$M$31*'Fuels Costs before Interest'!$K$31*'Fuels Costs before Interest'!$G$34*'Monthly Fuel Cost Allocation'!E$35*'Monthly Fuel Cost Allocation'!$A$2*'Monthly Fuel Cost Allocation'!$A$4</f>
        <v>0</v>
      </c>
      <c r="F44" s="315">
        <f>'Fuels Costs before Interest'!$M$31*'Fuels Costs before Interest'!$K$31*'Fuels Costs before Interest'!$G$34*'Monthly Fuel Cost Allocation'!F$35*'Monthly Fuel Cost Allocation'!$A$2*'Monthly Fuel Cost Allocation'!$A$4</f>
        <v>0</v>
      </c>
      <c r="G44" s="315">
        <f>'Fuels Costs before Interest'!$M$31*'Fuels Costs before Interest'!$K$31*'Fuels Costs before Interest'!$G$34*'Monthly Fuel Cost Allocation'!G$35*'Monthly Fuel Cost Allocation'!$A$2*'Monthly Fuel Cost Allocation'!$A$4</f>
        <v>0</v>
      </c>
      <c r="H44" s="315">
        <f>'Fuels Costs before Interest'!$M$31*'Fuels Costs before Interest'!$K$31*'Fuels Costs before Interest'!$G$34*'Monthly Fuel Cost Allocation'!H$35*'Monthly Fuel Cost Allocation'!$A$2*'Monthly Fuel Cost Allocation'!$A$4</f>
        <v>0</v>
      </c>
      <c r="I44" s="315">
        <f>'Fuels Costs before Interest'!$M$31*'Fuels Costs before Interest'!$K$31*'Fuels Costs before Interest'!$G$34*'Monthly Fuel Cost Allocation'!I$35*'Monthly Fuel Cost Allocation'!$A$2*'Monthly Fuel Cost Allocation'!$A$4</f>
        <v>0</v>
      </c>
      <c r="J44" s="315">
        <f>'Fuels Costs before Interest'!$M$31*'Fuels Costs before Interest'!$K$31*'Fuels Costs before Interest'!$G$34*'Monthly Fuel Cost Allocation'!J$35*'Monthly Fuel Cost Allocation'!$A$2*'Monthly Fuel Cost Allocation'!$A$4</f>
        <v>0</v>
      </c>
      <c r="K44" s="315">
        <f>'Fuels Costs before Interest'!$M$31*'Fuels Costs before Interest'!$K$31*'Fuels Costs before Interest'!$G$34*'Monthly Fuel Cost Allocation'!K$35*'Monthly Fuel Cost Allocation'!$A$2*'Monthly Fuel Cost Allocation'!$A$4</f>
        <v>0</v>
      </c>
      <c r="L44" s="315">
        <f>'Fuels Costs before Interest'!$M$31*'Fuels Costs before Interest'!$K$31*'Fuels Costs before Interest'!$G$34*'Monthly Fuel Cost Allocation'!L$35*'Monthly Fuel Cost Allocation'!$A$2*'Monthly Fuel Cost Allocation'!$A$4</f>
        <v>0</v>
      </c>
      <c r="M44" s="315">
        <f>'Fuels Costs before Interest'!$M$31*'Fuels Costs before Interest'!$K$31*'Fuels Costs before Interest'!$G$34*'Monthly Fuel Cost Allocation'!M$35*'Monthly Fuel Cost Allocation'!$A$2*'Monthly Fuel Cost Allocation'!$A$4</f>
        <v>0</v>
      </c>
      <c r="N44" s="315">
        <f>'Fuels Costs before Interest'!$M$31*'Fuels Costs before Interest'!$K$31*'Fuels Costs before Interest'!$G$34*'Monthly Fuel Cost Allocation'!N$35*'Monthly Fuel Cost Allocation'!$A$2*'Monthly Fuel Cost Allocation'!$A$4</f>
        <v>0</v>
      </c>
      <c r="O44" s="433"/>
      <c r="P44" s="433"/>
      <c r="Q44" s="433"/>
      <c r="R44" s="433"/>
      <c r="S44" s="433"/>
      <c r="T44" s="433"/>
    </row>
    <row r="45" spans="1:20" ht="12.75">
      <c r="A45" s="445" t="s">
        <v>280</v>
      </c>
      <c r="B45" s="315">
        <f>'Fuels Costs before Interest'!$M$31*'Fuels Costs before Interest'!$L$31*'Fuels Costs before Interest'!$E$34*'Monthly Fuel Cost Allocation'!B$35*'Monthly Fuel Cost Allocation'!$A$2*'Monthly Fuel Cost Allocation'!$A$4</f>
        <v>0</v>
      </c>
      <c r="C45" s="315">
        <f>'Fuels Costs before Interest'!$M$31*'Fuels Costs before Interest'!$L$31*'Fuels Costs before Interest'!$E$34*'Monthly Fuel Cost Allocation'!C$35*'Monthly Fuel Cost Allocation'!$A$2*'Monthly Fuel Cost Allocation'!$A$4</f>
        <v>0</v>
      </c>
      <c r="D45" s="315">
        <f>'Fuels Costs before Interest'!$M$31*'Fuels Costs before Interest'!$L$31*'Fuels Costs before Interest'!$E$34*'Monthly Fuel Cost Allocation'!D$35*'Monthly Fuel Cost Allocation'!$A$2*'Monthly Fuel Cost Allocation'!$A$4</f>
        <v>0</v>
      </c>
      <c r="E45" s="315">
        <f>'Fuels Costs before Interest'!$M$31*'Fuels Costs before Interest'!$L$31*'Fuels Costs before Interest'!$E$34*'Monthly Fuel Cost Allocation'!E$35*'Monthly Fuel Cost Allocation'!$A$2*'Monthly Fuel Cost Allocation'!$A$4</f>
        <v>0</v>
      </c>
      <c r="F45" s="315">
        <f>'Fuels Costs before Interest'!$M$31*'Fuels Costs before Interest'!$L$31*'Fuels Costs before Interest'!$E$34*'Monthly Fuel Cost Allocation'!F$35*'Monthly Fuel Cost Allocation'!$A$2*'Monthly Fuel Cost Allocation'!$A$4</f>
        <v>0</v>
      </c>
      <c r="G45" s="315">
        <f>'Fuels Costs before Interest'!$M$31*'Fuels Costs before Interest'!$L$31*'Fuels Costs before Interest'!$E$34*'Monthly Fuel Cost Allocation'!G$35*'Monthly Fuel Cost Allocation'!$A$2*'Monthly Fuel Cost Allocation'!$A$4</f>
        <v>0</v>
      </c>
      <c r="H45" s="315">
        <f>'Fuels Costs before Interest'!$M$31*'Fuels Costs before Interest'!$L$31*'Fuels Costs before Interest'!$E$34*'Monthly Fuel Cost Allocation'!H$35*'Monthly Fuel Cost Allocation'!$A$2*'Monthly Fuel Cost Allocation'!$A$4</f>
        <v>0</v>
      </c>
      <c r="I45" s="315">
        <f>'Fuels Costs before Interest'!$M$31*'Fuels Costs before Interest'!$L$31*'Fuels Costs before Interest'!$E$34*'Monthly Fuel Cost Allocation'!I$35*'Monthly Fuel Cost Allocation'!$A$2*'Monthly Fuel Cost Allocation'!$A$4</f>
        <v>0</v>
      </c>
      <c r="J45" s="315">
        <f>'Fuels Costs before Interest'!$M$31*'Fuels Costs before Interest'!$L$31*'Fuels Costs before Interest'!$E$34*'Monthly Fuel Cost Allocation'!J$35*'Monthly Fuel Cost Allocation'!$A$2*'Monthly Fuel Cost Allocation'!$A$4</f>
        <v>0</v>
      </c>
      <c r="K45" s="315">
        <f>'Fuels Costs before Interest'!$M$31*'Fuels Costs before Interest'!$L$31*'Fuels Costs before Interest'!$E$34*'Monthly Fuel Cost Allocation'!K$35*'Monthly Fuel Cost Allocation'!$A$2*'Monthly Fuel Cost Allocation'!$A$4</f>
        <v>0</v>
      </c>
      <c r="L45" s="315">
        <f>'Fuels Costs before Interest'!$M$31*'Fuels Costs before Interest'!$L$31*'Fuels Costs before Interest'!$E$34*'Monthly Fuel Cost Allocation'!L$35*'Monthly Fuel Cost Allocation'!$A$2*'Monthly Fuel Cost Allocation'!$A$4</f>
        <v>0</v>
      </c>
      <c r="M45" s="315">
        <f>'Fuels Costs before Interest'!$M$31*'Fuels Costs before Interest'!$L$31*'Fuels Costs before Interest'!$E$34*'Monthly Fuel Cost Allocation'!M$35*'Monthly Fuel Cost Allocation'!$A$2*'Monthly Fuel Cost Allocation'!$A$4</f>
        <v>0</v>
      </c>
      <c r="N45" s="315">
        <f>'Fuels Costs before Interest'!$M$31*'Fuels Costs before Interest'!$L$31*'Fuels Costs before Interest'!$E$34*'Monthly Fuel Cost Allocation'!N$35*'Monthly Fuel Cost Allocation'!$A$2*'Monthly Fuel Cost Allocation'!$A$4</f>
        <v>0</v>
      </c>
      <c r="O45" s="433"/>
      <c r="P45" s="433"/>
      <c r="Q45" s="433"/>
      <c r="R45" s="433"/>
      <c r="S45" s="433"/>
      <c r="T45" s="433"/>
    </row>
    <row r="46" spans="1:20" ht="12.75">
      <c r="A46" s="445" t="s">
        <v>281</v>
      </c>
      <c r="B46" s="315">
        <f>SUM(B43:B45)</f>
        <v>0</v>
      </c>
      <c r="C46" s="315">
        <f aca="true" t="shared" si="7" ref="C46:N46">SUM(C43:C45)</f>
        <v>0</v>
      </c>
      <c r="D46" s="315">
        <f t="shared" si="7"/>
        <v>0</v>
      </c>
      <c r="E46" s="315">
        <f t="shared" si="7"/>
        <v>0</v>
      </c>
      <c r="F46" s="315">
        <f t="shared" si="7"/>
        <v>0</v>
      </c>
      <c r="G46" s="315">
        <f t="shared" si="7"/>
        <v>0</v>
      </c>
      <c r="H46" s="315">
        <f t="shared" si="7"/>
        <v>0</v>
      </c>
      <c r="I46" s="315">
        <f t="shared" si="7"/>
        <v>0</v>
      </c>
      <c r="J46" s="315">
        <f t="shared" si="7"/>
        <v>0</v>
      </c>
      <c r="K46" s="315">
        <f t="shared" si="7"/>
        <v>0</v>
      </c>
      <c r="L46" s="315">
        <f t="shared" si="7"/>
        <v>0</v>
      </c>
      <c r="M46" s="315">
        <f t="shared" si="7"/>
        <v>0</v>
      </c>
      <c r="N46" s="315">
        <f t="shared" si="7"/>
        <v>0</v>
      </c>
      <c r="O46" s="433"/>
      <c r="P46" s="433"/>
      <c r="Q46" s="433"/>
      <c r="R46" s="433"/>
      <c r="S46" s="433"/>
      <c r="T46" s="433"/>
    </row>
    <row r="47" spans="1:20" ht="12.75">
      <c r="A47" s="445" t="s">
        <v>282</v>
      </c>
      <c r="B47" s="315"/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36"/>
      <c r="O47" s="433"/>
      <c r="P47" s="433"/>
      <c r="Q47" s="433"/>
      <c r="R47" s="433"/>
      <c r="S47" s="433"/>
      <c r="T47" s="433"/>
    </row>
    <row r="48" spans="1:20" ht="12.75">
      <c r="A48" s="445" t="s">
        <v>278</v>
      </c>
      <c r="B48" s="315">
        <f>'Fuels Costs before Interest'!$O$31*'Fuels Costs before Interest'!$E$34*'Monthly Fuel Cost Allocation'!B$36*'Monthly Fuel Cost Allocation'!$A$2*'Monthly Fuel Cost Allocation'!$A$4</f>
        <v>0</v>
      </c>
      <c r="C48" s="315">
        <f>'Fuels Costs before Interest'!$O$31*'Fuels Costs before Interest'!$E$34*'Monthly Fuel Cost Allocation'!C$36*'Monthly Fuel Cost Allocation'!$A$2*'Monthly Fuel Cost Allocation'!$A$4</f>
        <v>0</v>
      </c>
      <c r="D48" s="315">
        <f>'Fuels Costs before Interest'!$O$31*'Fuels Costs before Interest'!$E$34*'Monthly Fuel Cost Allocation'!D$36*'Monthly Fuel Cost Allocation'!$A$2*'Monthly Fuel Cost Allocation'!$A$4</f>
        <v>0</v>
      </c>
      <c r="E48" s="315">
        <f>'Fuels Costs before Interest'!$O$31*'Fuels Costs before Interest'!$E$34*'Monthly Fuel Cost Allocation'!E$36*'Monthly Fuel Cost Allocation'!$A$2*'Monthly Fuel Cost Allocation'!$A$4</f>
        <v>0</v>
      </c>
      <c r="F48" s="315">
        <f>'Fuels Costs before Interest'!$O$31*'Fuels Costs before Interest'!$E$34*'Monthly Fuel Cost Allocation'!F$36*'Monthly Fuel Cost Allocation'!$A$2*'Monthly Fuel Cost Allocation'!$A$4</f>
        <v>0</v>
      </c>
      <c r="G48" s="315">
        <f>'Fuels Costs before Interest'!$O$31*'Fuels Costs before Interest'!$E$34*'Monthly Fuel Cost Allocation'!G$36*'Monthly Fuel Cost Allocation'!$A$2*'Monthly Fuel Cost Allocation'!$A$4</f>
        <v>0</v>
      </c>
      <c r="H48" s="315">
        <f>'Fuels Costs before Interest'!$O$31*'Fuels Costs before Interest'!$E$34*'Monthly Fuel Cost Allocation'!H$36*'Monthly Fuel Cost Allocation'!$A$2*'Monthly Fuel Cost Allocation'!$A$4</f>
        <v>0</v>
      </c>
      <c r="I48" s="315">
        <f>'Fuels Costs before Interest'!$O$31*'Fuels Costs before Interest'!$E$34*'Monthly Fuel Cost Allocation'!I$36*'Monthly Fuel Cost Allocation'!$A$2*'Monthly Fuel Cost Allocation'!$A$4</f>
        <v>0</v>
      </c>
      <c r="J48" s="315">
        <f>'Fuels Costs before Interest'!$O$31*'Fuels Costs before Interest'!$E$34*'Monthly Fuel Cost Allocation'!J$36*'Monthly Fuel Cost Allocation'!$A$2*'Monthly Fuel Cost Allocation'!$A$4</f>
        <v>0</v>
      </c>
      <c r="K48" s="315">
        <f>'Fuels Costs before Interest'!$O$31*'Fuels Costs before Interest'!$E$34*'Monthly Fuel Cost Allocation'!K$36*'Monthly Fuel Cost Allocation'!$A$2*'Monthly Fuel Cost Allocation'!$A$4</f>
        <v>0</v>
      </c>
      <c r="L48" s="315">
        <f>'Fuels Costs before Interest'!$O$31*'Fuels Costs before Interest'!$E$34*'Monthly Fuel Cost Allocation'!L$36*'Monthly Fuel Cost Allocation'!$A$2*'Monthly Fuel Cost Allocation'!$A$4</f>
        <v>0</v>
      </c>
      <c r="M48" s="315">
        <f>'Fuels Costs before Interest'!$O$31*'Fuels Costs before Interest'!$E$34*'Monthly Fuel Cost Allocation'!M$36*'Monthly Fuel Cost Allocation'!$A$2*'Monthly Fuel Cost Allocation'!$A$4</f>
        <v>0</v>
      </c>
      <c r="N48" s="448">
        <f>SUM(B48:M48)</f>
        <v>0</v>
      </c>
      <c r="O48" s="433"/>
      <c r="P48" s="433"/>
      <c r="Q48" s="433"/>
      <c r="R48" s="433"/>
      <c r="S48" s="433"/>
      <c r="T48" s="433"/>
    </row>
    <row r="49" spans="1:20" ht="12.75">
      <c r="A49" s="445" t="s">
        <v>279</v>
      </c>
      <c r="B49" s="315">
        <f>'Fuels Costs before Interest'!$R$31*'Fuels Costs before Interest'!$P$31*'Fuels Costs before Interest'!$E$34*'Monthly Fuel Cost Allocation'!B$36*'Monthly Fuel Cost Allocation'!$A$2*'Monthly Fuel Cost Allocation'!$A$4</f>
        <v>0</v>
      </c>
      <c r="C49" s="315">
        <f>'Fuels Costs before Interest'!$R$31*'Fuels Costs before Interest'!$P$31*'Fuels Costs before Interest'!$E$34*'Monthly Fuel Cost Allocation'!C$36*'Monthly Fuel Cost Allocation'!$A$2*'Monthly Fuel Cost Allocation'!$A$4</f>
        <v>0</v>
      </c>
      <c r="D49" s="315">
        <f>'Fuels Costs before Interest'!$R$31*'Fuels Costs before Interest'!$P$31*'Fuels Costs before Interest'!$E$34*'Monthly Fuel Cost Allocation'!D$36*'Monthly Fuel Cost Allocation'!$A$2*'Monthly Fuel Cost Allocation'!$A$4</f>
        <v>0</v>
      </c>
      <c r="E49" s="315">
        <f>'Fuels Costs before Interest'!$R$31*'Fuels Costs before Interest'!$P$31*'Fuels Costs before Interest'!$E$34*'Monthly Fuel Cost Allocation'!E$36*'Monthly Fuel Cost Allocation'!$A$2*'Monthly Fuel Cost Allocation'!$A$4</f>
        <v>0</v>
      </c>
      <c r="F49" s="315">
        <f>'Fuels Costs before Interest'!$R$31*'Fuels Costs before Interest'!$P$31*'Fuels Costs before Interest'!$E$34*'Monthly Fuel Cost Allocation'!F$36*'Monthly Fuel Cost Allocation'!$A$2*'Monthly Fuel Cost Allocation'!$A$4</f>
        <v>0</v>
      </c>
      <c r="G49" s="315">
        <f>'Fuels Costs before Interest'!$R$31*'Fuels Costs before Interest'!$P$31*'Fuels Costs before Interest'!$E$34*'Monthly Fuel Cost Allocation'!G$36*'Monthly Fuel Cost Allocation'!$A$2*'Monthly Fuel Cost Allocation'!$A$4</f>
        <v>0</v>
      </c>
      <c r="H49" s="315">
        <f>'Fuels Costs before Interest'!$R$31*'Fuels Costs before Interest'!$P$31*'Fuels Costs before Interest'!$E$34*'Monthly Fuel Cost Allocation'!H$36*'Monthly Fuel Cost Allocation'!$A$2*'Monthly Fuel Cost Allocation'!$A$4</f>
        <v>0</v>
      </c>
      <c r="I49" s="315">
        <f>'Fuels Costs before Interest'!$R$31*'Fuels Costs before Interest'!$P$31*'Fuels Costs before Interest'!$E$34*'Monthly Fuel Cost Allocation'!I$36*'Monthly Fuel Cost Allocation'!$A$2*'Monthly Fuel Cost Allocation'!$A$4</f>
        <v>0</v>
      </c>
      <c r="J49" s="315">
        <f>'Fuels Costs before Interest'!$R$31*'Fuels Costs before Interest'!$P$31*'Fuels Costs before Interest'!$E$34*'Monthly Fuel Cost Allocation'!J$36*'Monthly Fuel Cost Allocation'!$A$2*'Monthly Fuel Cost Allocation'!$A$4</f>
        <v>0</v>
      </c>
      <c r="K49" s="315">
        <f>'Fuels Costs before Interest'!$R$31*'Fuels Costs before Interest'!$P$31*'Fuels Costs before Interest'!$E$34*'Monthly Fuel Cost Allocation'!K$36*'Monthly Fuel Cost Allocation'!$A$2*'Monthly Fuel Cost Allocation'!$A$4</f>
        <v>0</v>
      </c>
      <c r="L49" s="315">
        <f>'Fuels Costs before Interest'!$R$31*'Fuels Costs before Interest'!$P$31*'Fuels Costs before Interest'!$E$34*'Monthly Fuel Cost Allocation'!L$36*'Monthly Fuel Cost Allocation'!$A$2*'Monthly Fuel Cost Allocation'!$A$4</f>
        <v>0</v>
      </c>
      <c r="M49" s="315">
        <f>'Fuels Costs before Interest'!$R$31*'Fuels Costs before Interest'!$P$31*'Fuels Costs before Interest'!$E$34*'Monthly Fuel Cost Allocation'!M$36*'Monthly Fuel Cost Allocation'!$A$2*'Monthly Fuel Cost Allocation'!$A$4</f>
        <v>0</v>
      </c>
      <c r="N49" s="448">
        <f>SUM(B49:M49)</f>
        <v>0</v>
      </c>
      <c r="O49" s="433"/>
      <c r="P49" s="433"/>
      <c r="Q49" s="433"/>
      <c r="R49" s="433"/>
      <c r="S49" s="433"/>
      <c r="T49" s="433"/>
    </row>
    <row r="50" spans="1:20" ht="12.75">
      <c r="A50" s="445" t="s">
        <v>280</v>
      </c>
      <c r="B50" s="315">
        <f>'Fuels Costs before Interest'!$R$31*'Fuels Costs before Interest'!$Q$31*'Fuels Costs before Interest'!$E$34*'Monthly Fuel Cost Allocation'!B$36*'Monthly Fuel Cost Allocation'!$A$2*'Monthly Fuel Cost Allocation'!$A$4</f>
        <v>0</v>
      </c>
      <c r="C50" s="315">
        <f>'Fuels Costs before Interest'!$R$31*'Fuels Costs before Interest'!$Q$31*'Fuels Costs before Interest'!$E$34*'Monthly Fuel Cost Allocation'!C$36*'Monthly Fuel Cost Allocation'!$A$2*'Monthly Fuel Cost Allocation'!$A$4</f>
        <v>0</v>
      </c>
      <c r="D50" s="315">
        <f>'Fuels Costs before Interest'!$R$31*'Fuels Costs before Interest'!$Q$31*'Fuels Costs before Interest'!$E$34*'Monthly Fuel Cost Allocation'!D$36*'Monthly Fuel Cost Allocation'!$A$2*'Monthly Fuel Cost Allocation'!$A$4</f>
        <v>0</v>
      </c>
      <c r="E50" s="315">
        <f>'Fuels Costs before Interest'!$R$31*'Fuels Costs before Interest'!$Q$31*'Fuels Costs before Interest'!$E$34*'Monthly Fuel Cost Allocation'!E$36*'Monthly Fuel Cost Allocation'!$A$2*'Monthly Fuel Cost Allocation'!$A$4</f>
        <v>0</v>
      </c>
      <c r="F50" s="315">
        <f>'Fuels Costs before Interest'!$R$31*'Fuels Costs before Interest'!$Q$31*'Fuels Costs before Interest'!$E$34*'Monthly Fuel Cost Allocation'!F$36*'Monthly Fuel Cost Allocation'!$A$2*'Monthly Fuel Cost Allocation'!$A$4</f>
        <v>0</v>
      </c>
      <c r="G50" s="315">
        <f>'Fuels Costs before Interest'!$R$31*'Fuels Costs before Interest'!$Q$31*'Fuels Costs before Interest'!$E$34*'Monthly Fuel Cost Allocation'!G$36*'Monthly Fuel Cost Allocation'!$A$2*'Monthly Fuel Cost Allocation'!$A$4</f>
        <v>0</v>
      </c>
      <c r="H50" s="315">
        <f>'Fuels Costs before Interest'!$R$31*'Fuels Costs before Interest'!$Q$31*'Fuels Costs before Interest'!$E$34*'Monthly Fuel Cost Allocation'!H$36*'Monthly Fuel Cost Allocation'!$A$2*'Monthly Fuel Cost Allocation'!$A$4</f>
        <v>0</v>
      </c>
      <c r="I50" s="315">
        <f>'Fuels Costs before Interest'!$R$31*'Fuels Costs before Interest'!$Q$31*'Fuels Costs before Interest'!$E$34*'Monthly Fuel Cost Allocation'!I$36*'Monthly Fuel Cost Allocation'!$A$2*'Monthly Fuel Cost Allocation'!$A$4</f>
        <v>0</v>
      </c>
      <c r="J50" s="315">
        <f>'Fuels Costs before Interest'!$R$31*'Fuels Costs before Interest'!$Q$31*'Fuels Costs before Interest'!$E$34*'Monthly Fuel Cost Allocation'!J$36*'Monthly Fuel Cost Allocation'!$A$2*'Monthly Fuel Cost Allocation'!$A$4</f>
        <v>0</v>
      </c>
      <c r="K50" s="315">
        <f>'Fuels Costs before Interest'!$R$31*'Fuels Costs before Interest'!$Q$31*'Fuels Costs before Interest'!$E$34*'Monthly Fuel Cost Allocation'!K$36*'Monthly Fuel Cost Allocation'!$A$2*'Monthly Fuel Cost Allocation'!$A$4</f>
        <v>0</v>
      </c>
      <c r="L50" s="315">
        <f>'Fuels Costs before Interest'!$R$31*'Fuels Costs before Interest'!$Q$31*'Fuels Costs before Interest'!$E$34*'Monthly Fuel Cost Allocation'!L$36*'Monthly Fuel Cost Allocation'!$A$2*'Monthly Fuel Cost Allocation'!$A$4</f>
        <v>0</v>
      </c>
      <c r="M50" s="315">
        <f>'Fuels Costs before Interest'!$R$31*'Fuels Costs before Interest'!$Q$31*'Fuels Costs before Interest'!$E$34*'Monthly Fuel Cost Allocation'!M$36*'Monthly Fuel Cost Allocation'!$A$2*'Monthly Fuel Cost Allocation'!$A$4</f>
        <v>0</v>
      </c>
      <c r="N50" s="448">
        <f>SUM(B50:M50)</f>
        <v>0</v>
      </c>
      <c r="O50" s="433"/>
      <c r="P50" s="433"/>
      <c r="Q50" s="433"/>
      <c r="R50" s="433"/>
      <c r="S50" s="433"/>
      <c r="T50" s="433"/>
    </row>
    <row r="51" spans="1:20" ht="12.75">
      <c r="A51" s="445" t="s">
        <v>281</v>
      </c>
      <c r="B51" s="315">
        <f>SUM(B48:B50)</f>
        <v>0</v>
      </c>
      <c r="C51" s="315">
        <f aca="true" t="shared" si="8" ref="C51:M51">SUM(C48:C50)</f>
        <v>0</v>
      </c>
      <c r="D51" s="315">
        <f t="shared" si="8"/>
        <v>0</v>
      </c>
      <c r="E51" s="315">
        <f t="shared" si="8"/>
        <v>0</v>
      </c>
      <c r="F51" s="315">
        <f t="shared" si="8"/>
        <v>0</v>
      </c>
      <c r="G51" s="315">
        <f t="shared" si="8"/>
        <v>0</v>
      </c>
      <c r="H51" s="315">
        <f t="shared" si="8"/>
        <v>0</v>
      </c>
      <c r="I51" s="315">
        <f t="shared" si="8"/>
        <v>0</v>
      </c>
      <c r="J51" s="315">
        <f t="shared" si="8"/>
        <v>0</v>
      </c>
      <c r="K51" s="315">
        <f t="shared" si="8"/>
        <v>0</v>
      </c>
      <c r="L51" s="315">
        <f t="shared" si="8"/>
        <v>0</v>
      </c>
      <c r="M51" s="315">
        <f t="shared" si="8"/>
        <v>0</v>
      </c>
      <c r="N51" s="448">
        <f>SUM(B51:M51)</f>
        <v>0</v>
      </c>
      <c r="O51" s="433"/>
      <c r="P51" s="433"/>
      <c r="Q51" s="433"/>
      <c r="R51" s="433"/>
      <c r="S51" s="433"/>
      <c r="T51" s="433"/>
    </row>
    <row r="52" spans="1:20" ht="12.75">
      <c r="A52" s="445"/>
      <c r="B52" s="315"/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436"/>
      <c r="O52" s="433"/>
      <c r="P52" s="433"/>
      <c r="Q52" s="433"/>
      <c r="R52" s="433"/>
      <c r="S52" s="433"/>
      <c r="T52" s="433"/>
    </row>
    <row r="53" spans="1:20" ht="12.75">
      <c r="A53" s="445" t="s">
        <v>283</v>
      </c>
      <c r="B53" s="315">
        <f>B41+B46+B51</f>
        <v>887415.48</v>
      </c>
      <c r="C53" s="315">
        <f aca="true" t="shared" si="9" ref="C53:M53">C41+C46+C51</f>
        <v>714261.24</v>
      </c>
      <c r="D53" s="315">
        <f t="shared" si="9"/>
        <v>885010.5599999999</v>
      </c>
      <c r="E53" s="315">
        <f t="shared" si="9"/>
        <v>829697.4</v>
      </c>
      <c r="F53" s="315">
        <f t="shared" si="9"/>
        <v>887415.48</v>
      </c>
      <c r="G53" s="315">
        <f t="shared" si="9"/>
        <v>829697.4</v>
      </c>
      <c r="H53" s="315">
        <f t="shared" si="9"/>
        <v>887415.48</v>
      </c>
      <c r="I53" s="315">
        <f t="shared" si="9"/>
        <v>887415.48</v>
      </c>
      <c r="J53" s="315">
        <f t="shared" si="9"/>
        <v>829697.4</v>
      </c>
      <c r="K53" s="315">
        <f t="shared" si="9"/>
        <v>887415.48</v>
      </c>
      <c r="L53" s="315">
        <f t="shared" si="9"/>
        <v>577982.44</v>
      </c>
      <c r="M53" s="315">
        <f t="shared" si="9"/>
        <v>875307.62396</v>
      </c>
      <c r="N53" s="448">
        <f>SUM(B53:M53)</f>
        <v>9978731.463960001</v>
      </c>
      <c r="O53" s="433"/>
      <c r="P53" s="433"/>
      <c r="Q53" s="433"/>
      <c r="R53" s="433"/>
      <c r="S53" s="433"/>
      <c r="T53" s="433"/>
    </row>
    <row r="54" spans="1:20" ht="12.75">
      <c r="A54" s="445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436"/>
      <c r="O54" s="433"/>
      <c r="P54" s="433"/>
      <c r="Q54" s="433"/>
      <c r="R54" s="433"/>
      <c r="S54" s="433"/>
      <c r="T54" s="433"/>
    </row>
    <row r="55" spans="1:20" ht="12.75">
      <c r="A55" s="447" t="s">
        <v>284</v>
      </c>
      <c r="B55" s="315"/>
      <c r="C55" s="440"/>
      <c r="D55" s="440"/>
      <c r="E55" s="440"/>
      <c r="F55" s="440"/>
      <c r="G55" s="440"/>
      <c r="H55" s="440"/>
      <c r="I55" s="440"/>
      <c r="J55" s="440"/>
      <c r="K55" s="440"/>
      <c r="L55" s="440"/>
      <c r="M55" s="440"/>
      <c r="N55" s="436"/>
      <c r="O55" s="433"/>
      <c r="P55" s="433"/>
      <c r="Q55" s="433"/>
      <c r="R55" s="433"/>
      <c r="S55" s="433"/>
      <c r="T55" s="433"/>
    </row>
    <row r="56" spans="1:20" ht="12.75">
      <c r="A56" s="445" t="s">
        <v>276</v>
      </c>
      <c r="B56" s="315"/>
      <c r="C56" s="440"/>
      <c r="D56" s="440"/>
      <c r="E56" s="440"/>
      <c r="F56" s="440"/>
      <c r="G56" s="440"/>
      <c r="H56" s="440"/>
      <c r="I56" s="440"/>
      <c r="J56" s="440"/>
      <c r="K56" s="440"/>
      <c r="L56" s="440"/>
      <c r="M56" s="440"/>
      <c r="N56" s="436"/>
      <c r="O56" s="433"/>
      <c r="P56" s="433"/>
      <c r="Q56" s="433"/>
      <c r="R56" s="433"/>
      <c r="S56" s="433"/>
      <c r="T56" s="433"/>
    </row>
    <row r="57" spans="1:20" ht="12.75">
      <c r="A57" s="445" t="s">
        <v>277</v>
      </c>
      <c r="B57" s="315"/>
      <c r="C57" s="440"/>
      <c r="D57" s="440"/>
      <c r="E57" s="440"/>
      <c r="F57" s="440"/>
      <c r="G57" s="440"/>
      <c r="H57" s="440"/>
      <c r="I57" s="440"/>
      <c r="J57" s="440"/>
      <c r="K57" s="440"/>
      <c r="L57" s="440"/>
      <c r="M57" s="440"/>
      <c r="N57" s="436"/>
      <c r="O57" s="433"/>
      <c r="P57" s="433"/>
      <c r="Q57" s="433"/>
      <c r="R57" s="433"/>
      <c r="S57" s="433"/>
      <c r="T57" s="433"/>
    </row>
    <row r="58" spans="1:20" ht="12.75">
      <c r="A58" s="445" t="s">
        <v>278</v>
      </c>
      <c r="B58" s="315"/>
      <c r="C58" s="440"/>
      <c r="D58" s="440"/>
      <c r="E58" s="440"/>
      <c r="F58" s="440"/>
      <c r="G58" s="440"/>
      <c r="H58" s="440"/>
      <c r="I58" s="440"/>
      <c r="J58" s="440"/>
      <c r="K58" s="440"/>
      <c r="L58" s="440"/>
      <c r="M58" s="440"/>
      <c r="N58" s="436"/>
      <c r="O58" s="433"/>
      <c r="P58" s="433"/>
      <c r="Q58" s="433"/>
      <c r="R58" s="433"/>
      <c r="S58" s="433"/>
      <c r="T58" s="433"/>
    </row>
    <row r="59" spans="1:20" ht="12.75">
      <c r="A59" s="445" t="s">
        <v>279</v>
      </c>
      <c r="B59" s="315"/>
      <c r="C59" s="440"/>
      <c r="D59" s="440"/>
      <c r="E59" s="440"/>
      <c r="F59" s="440"/>
      <c r="G59" s="440"/>
      <c r="H59" s="440"/>
      <c r="I59" s="440"/>
      <c r="J59" s="440"/>
      <c r="K59" s="440"/>
      <c r="L59" s="440"/>
      <c r="M59" s="440"/>
      <c r="N59" s="436"/>
      <c r="O59" s="433"/>
      <c r="P59" s="433"/>
      <c r="Q59" s="433"/>
      <c r="R59" s="433"/>
      <c r="S59" s="433"/>
      <c r="T59" s="433"/>
    </row>
    <row r="60" spans="1:20" ht="12.75">
      <c r="A60" s="445" t="s">
        <v>280</v>
      </c>
      <c r="B60" s="315"/>
      <c r="C60" s="440"/>
      <c r="D60" s="440"/>
      <c r="E60" s="440"/>
      <c r="F60" s="440"/>
      <c r="G60" s="440"/>
      <c r="H60" s="440"/>
      <c r="I60" s="440"/>
      <c r="J60" s="440"/>
      <c r="K60" s="440"/>
      <c r="L60" s="440"/>
      <c r="M60" s="440"/>
      <c r="N60" s="436"/>
      <c r="O60" s="433"/>
      <c r="P60" s="433"/>
      <c r="Q60" s="433"/>
      <c r="R60" s="433"/>
      <c r="S60" s="433"/>
      <c r="T60" s="433"/>
    </row>
    <row r="61" spans="1:20" ht="12.75">
      <c r="A61" s="445" t="s">
        <v>281</v>
      </c>
      <c r="B61" s="315"/>
      <c r="C61" s="440"/>
      <c r="D61" s="440"/>
      <c r="E61" s="440"/>
      <c r="F61" s="440"/>
      <c r="G61" s="440"/>
      <c r="H61" s="440"/>
      <c r="I61" s="440"/>
      <c r="J61" s="440"/>
      <c r="K61" s="440"/>
      <c r="L61" s="440"/>
      <c r="M61" s="440"/>
      <c r="N61" s="436"/>
      <c r="O61" s="433"/>
      <c r="P61" s="433"/>
      <c r="Q61" s="433"/>
      <c r="R61" s="433"/>
      <c r="S61" s="433"/>
      <c r="T61" s="433"/>
    </row>
    <row r="62" spans="1:20" ht="12.75">
      <c r="A62" s="445" t="s">
        <v>282</v>
      </c>
      <c r="B62" s="315"/>
      <c r="C62" s="440"/>
      <c r="D62" s="440"/>
      <c r="E62" s="440"/>
      <c r="F62" s="440"/>
      <c r="G62" s="440"/>
      <c r="H62" s="440"/>
      <c r="I62" s="440"/>
      <c r="J62" s="440"/>
      <c r="K62" s="440"/>
      <c r="L62" s="440"/>
      <c r="M62" s="440"/>
      <c r="N62" s="436"/>
      <c r="O62" s="433"/>
      <c r="P62" s="433"/>
      <c r="Q62" s="433"/>
      <c r="R62" s="433"/>
      <c r="S62" s="433"/>
      <c r="T62" s="433"/>
    </row>
    <row r="63" spans="1:20" ht="12.75">
      <c r="A63" s="445" t="s">
        <v>278</v>
      </c>
      <c r="B63" s="315"/>
      <c r="C63" s="440"/>
      <c r="D63" s="440"/>
      <c r="E63" s="440"/>
      <c r="F63" s="440"/>
      <c r="G63" s="440"/>
      <c r="H63" s="440"/>
      <c r="I63" s="440"/>
      <c r="J63" s="440"/>
      <c r="K63" s="440"/>
      <c r="L63" s="440"/>
      <c r="M63" s="440"/>
      <c r="N63" s="436"/>
      <c r="O63" s="433"/>
      <c r="P63" s="433"/>
      <c r="Q63" s="433"/>
      <c r="R63" s="433"/>
      <c r="S63" s="433"/>
      <c r="T63" s="433"/>
    </row>
    <row r="64" spans="1:20" ht="12.75">
      <c r="A64" s="445" t="s">
        <v>279</v>
      </c>
      <c r="B64" s="315"/>
      <c r="C64" s="440"/>
      <c r="D64" s="440"/>
      <c r="E64" s="440"/>
      <c r="F64" s="440"/>
      <c r="G64" s="440"/>
      <c r="H64" s="440"/>
      <c r="I64" s="440"/>
      <c r="J64" s="440"/>
      <c r="K64" s="440"/>
      <c r="L64" s="440"/>
      <c r="M64" s="440"/>
      <c r="N64" s="436"/>
      <c r="O64" s="433"/>
      <c r="P64" s="433"/>
      <c r="Q64" s="433"/>
      <c r="R64" s="433"/>
      <c r="S64" s="433"/>
      <c r="T64" s="433"/>
    </row>
    <row r="65" spans="1:20" ht="12.75">
      <c r="A65" s="445" t="s">
        <v>280</v>
      </c>
      <c r="B65" s="315"/>
      <c r="C65" s="440"/>
      <c r="D65" s="440"/>
      <c r="E65" s="440"/>
      <c r="F65" s="440"/>
      <c r="G65" s="440"/>
      <c r="H65" s="440"/>
      <c r="I65" s="440"/>
      <c r="J65" s="440"/>
      <c r="K65" s="440"/>
      <c r="L65" s="440"/>
      <c r="M65" s="440"/>
      <c r="N65" s="436"/>
      <c r="O65" s="433"/>
      <c r="P65" s="433"/>
      <c r="Q65" s="433"/>
      <c r="R65" s="433"/>
      <c r="S65" s="433"/>
      <c r="T65" s="433"/>
    </row>
    <row r="66" spans="1:20" ht="12.75">
      <c r="A66" s="445" t="s">
        <v>281</v>
      </c>
      <c r="B66" s="315"/>
      <c r="C66" s="440"/>
      <c r="D66" s="440"/>
      <c r="E66" s="440"/>
      <c r="F66" s="440"/>
      <c r="G66" s="440"/>
      <c r="H66" s="440"/>
      <c r="I66" s="440"/>
      <c r="J66" s="440"/>
      <c r="K66" s="440"/>
      <c r="L66" s="440"/>
      <c r="M66" s="440"/>
      <c r="N66" s="436"/>
      <c r="O66" s="433"/>
      <c r="P66" s="433"/>
      <c r="Q66" s="433"/>
      <c r="R66" s="433"/>
      <c r="S66" s="433"/>
      <c r="T66" s="433"/>
    </row>
    <row r="67" spans="1:20" ht="12.75">
      <c r="A67" s="445"/>
      <c r="B67" s="315"/>
      <c r="C67" s="440"/>
      <c r="D67" s="440"/>
      <c r="E67" s="440"/>
      <c r="F67" s="440"/>
      <c r="G67" s="440"/>
      <c r="H67" s="440"/>
      <c r="I67" s="440"/>
      <c r="J67" s="440"/>
      <c r="K67" s="440"/>
      <c r="L67" s="440"/>
      <c r="M67" s="440"/>
      <c r="N67" s="436"/>
      <c r="O67" s="433"/>
      <c r="P67" s="433"/>
      <c r="Q67" s="433"/>
      <c r="R67" s="433"/>
      <c r="S67" s="433"/>
      <c r="T67" s="433"/>
    </row>
    <row r="68" spans="1:20" ht="12.75">
      <c r="A68" s="445" t="s">
        <v>283</v>
      </c>
      <c r="B68" s="315"/>
      <c r="C68" s="440"/>
      <c r="D68" s="440"/>
      <c r="E68" s="440"/>
      <c r="F68" s="440"/>
      <c r="G68" s="440"/>
      <c r="H68" s="440"/>
      <c r="I68" s="440"/>
      <c r="J68" s="440"/>
      <c r="K68" s="440"/>
      <c r="L68" s="440"/>
      <c r="M68" s="440"/>
      <c r="N68" s="436"/>
      <c r="O68" s="433"/>
      <c r="P68" s="433"/>
      <c r="Q68" s="433"/>
      <c r="R68" s="433"/>
      <c r="S68" s="433"/>
      <c r="T68" s="433"/>
    </row>
    <row r="69" spans="1:20" ht="12.75">
      <c r="A69" s="445"/>
      <c r="B69" s="315"/>
      <c r="C69" s="440"/>
      <c r="D69" s="440"/>
      <c r="E69" s="440"/>
      <c r="F69" s="440"/>
      <c r="G69" s="440"/>
      <c r="H69" s="440"/>
      <c r="I69" s="440"/>
      <c r="J69" s="440"/>
      <c r="K69" s="440"/>
      <c r="L69" s="440"/>
      <c r="M69" s="440"/>
      <c r="N69" s="436"/>
      <c r="O69" s="433"/>
      <c r="P69" s="433"/>
      <c r="Q69" s="433"/>
      <c r="R69" s="433"/>
      <c r="S69" s="433"/>
      <c r="T69" s="433"/>
    </row>
    <row r="70" spans="1:20" ht="12.75">
      <c r="A70" s="445" t="s">
        <v>285</v>
      </c>
      <c r="B70" s="315">
        <f>B53+B68</f>
        <v>887415.48</v>
      </c>
      <c r="C70" s="315">
        <f aca="true" t="shared" si="10" ref="C70:M70">C53+C68</f>
        <v>714261.24</v>
      </c>
      <c r="D70" s="315">
        <f t="shared" si="10"/>
        <v>885010.5599999999</v>
      </c>
      <c r="E70" s="315">
        <f t="shared" si="10"/>
        <v>829697.4</v>
      </c>
      <c r="F70" s="315">
        <f t="shared" si="10"/>
        <v>887415.48</v>
      </c>
      <c r="G70" s="315">
        <f t="shared" si="10"/>
        <v>829697.4</v>
      </c>
      <c r="H70" s="315">
        <f t="shared" si="10"/>
        <v>887415.48</v>
      </c>
      <c r="I70" s="315">
        <f t="shared" si="10"/>
        <v>887415.48</v>
      </c>
      <c r="J70" s="315">
        <f t="shared" si="10"/>
        <v>829697.4</v>
      </c>
      <c r="K70" s="315">
        <f t="shared" si="10"/>
        <v>887415.48</v>
      </c>
      <c r="L70" s="315">
        <f t="shared" si="10"/>
        <v>577982.44</v>
      </c>
      <c r="M70" s="315">
        <f t="shared" si="10"/>
        <v>875307.62396</v>
      </c>
      <c r="N70" s="448">
        <f>SUM(B70:M70)</f>
        <v>9978731.463960001</v>
      </c>
      <c r="O70" s="433"/>
      <c r="P70" s="433"/>
      <c r="Q70" s="433"/>
      <c r="R70" s="433"/>
      <c r="S70" s="433"/>
      <c r="T70" s="433"/>
    </row>
    <row r="71" spans="1:20" ht="12.75">
      <c r="A71" s="439"/>
      <c r="B71" s="315"/>
      <c r="C71" s="440"/>
      <c r="D71" s="440"/>
      <c r="E71" s="440"/>
      <c r="F71" s="440"/>
      <c r="G71" s="440"/>
      <c r="H71" s="440"/>
      <c r="I71" s="440"/>
      <c r="J71" s="440"/>
      <c r="K71" s="440"/>
      <c r="L71" s="440"/>
      <c r="M71" s="440"/>
      <c r="N71" s="436"/>
      <c r="O71" s="433"/>
      <c r="P71" s="433"/>
      <c r="Q71" s="433"/>
      <c r="R71" s="433"/>
      <c r="S71" s="433"/>
      <c r="T71" s="433"/>
    </row>
    <row r="72" spans="1:20" ht="12.75">
      <c r="A72" s="441" t="s">
        <v>286</v>
      </c>
      <c r="B72" s="315">
        <f>B34-B41-B56</f>
        <v>53853918.895721205</v>
      </c>
      <c r="C72" s="315">
        <f aca="true" t="shared" si="11" ref="C72:M72">C34-C41-C56</f>
        <v>47043586.07352247</v>
      </c>
      <c r="D72" s="315">
        <f t="shared" si="11"/>
        <v>40932190.09697349</v>
      </c>
      <c r="E72" s="315">
        <f t="shared" si="11"/>
        <v>31750775.810451265</v>
      </c>
      <c r="F72" s="315">
        <f t="shared" si="11"/>
        <v>28929396.667311423</v>
      </c>
      <c r="G72" s="315">
        <f t="shared" si="11"/>
        <v>34742753.90823327</v>
      </c>
      <c r="H72" s="315">
        <f t="shared" si="11"/>
        <v>34564630.847592175</v>
      </c>
      <c r="I72" s="315">
        <f t="shared" si="11"/>
        <v>37596179.4886872</v>
      </c>
      <c r="J72" s="315">
        <f t="shared" si="11"/>
        <v>28621163.410434447</v>
      </c>
      <c r="K72" s="315">
        <f t="shared" si="11"/>
        <v>31484690.97128807</v>
      </c>
      <c r="L72" s="315">
        <f t="shared" si="11"/>
        <v>34703581.06400001</v>
      </c>
      <c r="M72" s="315">
        <f t="shared" si="11"/>
        <v>35893660.19004</v>
      </c>
      <c r="N72" s="448">
        <f>SUM(B72:M72)</f>
        <v>440116527.4242551</v>
      </c>
      <c r="O72" s="433"/>
      <c r="P72" s="433"/>
      <c r="Q72" s="433"/>
      <c r="R72" s="433"/>
      <c r="S72" s="433"/>
      <c r="T72" s="433"/>
    </row>
    <row r="73" spans="1:20" ht="12.75">
      <c r="A73" s="439"/>
      <c r="B73" s="315"/>
      <c r="C73" s="440"/>
      <c r="D73" s="440"/>
      <c r="E73" s="440"/>
      <c r="F73" s="440"/>
      <c r="G73" s="440"/>
      <c r="H73" s="440"/>
      <c r="I73" s="440"/>
      <c r="J73" s="440"/>
      <c r="K73" s="440"/>
      <c r="L73" s="440"/>
      <c r="M73" s="440"/>
      <c r="N73" s="436"/>
      <c r="O73" s="433"/>
      <c r="P73" s="433"/>
      <c r="Q73" s="433"/>
      <c r="R73" s="433"/>
      <c r="S73" s="433"/>
      <c r="T73" s="433"/>
    </row>
    <row r="74" spans="1:20" ht="15.75">
      <c r="A74" s="449" t="s">
        <v>69</v>
      </c>
      <c r="B74" s="315"/>
      <c r="C74" s="440"/>
      <c r="D74" s="440"/>
      <c r="E74" s="440"/>
      <c r="F74" s="440"/>
      <c r="G74" s="440"/>
      <c r="H74" s="440"/>
      <c r="I74" s="440"/>
      <c r="J74" s="440"/>
      <c r="K74" s="440"/>
      <c r="L74" s="440"/>
      <c r="M74" s="440"/>
      <c r="N74" s="436"/>
      <c r="O74" s="433"/>
      <c r="P74" s="433"/>
      <c r="Q74" s="433"/>
      <c r="R74" s="433"/>
      <c r="S74" s="433"/>
      <c r="T74" s="433"/>
    </row>
    <row r="75" spans="1:20" ht="12.75">
      <c r="A75" s="450" t="s">
        <v>57</v>
      </c>
      <c r="B75" s="315">
        <f>B$72*'Monthly Energy Allocators'!B128</f>
        <v>25075426.201276504</v>
      </c>
      <c r="C75" s="315">
        <f>C$72*'Monthly Energy Allocators'!C128</f>
        <v>21549220.885985013</v>
      </c>
      <c r="D75" s="315">
        <f>D$72*'Monthly Energy Allocators'!D128</f>
        <v>17805443.504256934</v>
      </c>
      <c r="E75" s="315">
        <f>E$72*'Monthly Energy Allocators'!E128</f>
        <v>12715679.79189849</v>
      </c>
      <c r="F75" s="315">
        <f>F$72*'Monthly Energy Allocators'!F128</f>
        <v>10938802.732971847</v>
      </c>
      <c r="G75" s="315">
        <f>G$72*'Monthly Energy Allocators'!G128</f>
        <v>11652478.763368543</v>
      </c>
      <c r="H75" s="315">
        <f>H$72*'Monthly Energy Allocators'!H128</f>
        <v>11074474.412333928</v>
      </c>
      <c r="I75" s="315">
        <f>I$72*'Monthly Energy Allocators'!I128</f>
        <v>12150034.675786858</v>
      </c>
      <c r="J75" s="315">
        <f>J$72*'Monthly Energy Allocators'!J128</f>
        <v>10198693.046207856</v>
      </c>
      <c r="K75" s="315">
        <f>K$72*'Monthly Energy Allocators'!K128</f>
        <v>12894109.852217983</v>
      </c>
      <c r="L75" s="315">
        <f>L$72*'Monthly Energy Allocators'!L128</f>
        <v>15727285.523361769</v>
      </c>
      <c r="M75" s="315">
        <f>M$72*'Monthly Energy Allocators'!M128</f>
        <v>17911959.074829284</v>
      </c>
      <c r="N75" s="448">
        <f aca="true" t="shared" si="12" ref="N75:N85">SUM(B75:M75)</f>
        <v>179693608.464495</v>
      </c>
      <c r="O75" s="433"/>
      <c r="P75" s="433"/>
      <c r="Q75" s="433"/>
      <c r="R75" s="433"/>
      <c r="S75" s="433"/>
      <c r="T75" s="433"/>
    </row>
    <row r="76" spans="1:20" ht="12.75">
      <c r="A76" s="450" t="s">
        <v>49</v>
      </c>
      <c r="B76" s="315">
        <f>B$72*'Monthly Energy Allocators'!B129</f>
        <v>1205508.1825825942</v>
      </c>
      <c r="C76" s="315">
        <f>C$72*'Monthly Energy Allocators'!C129</f>
        <v>1090044.8569673481</v>
      </c>
      <c r="D76" s="315">
        <f>D$72*'Monthly Energy Allocators'!D129</f>
        <v>962985.6587289111</v>
      </c>
      <c r="E76" s="315">
        <f>E$72*'Monthly Energy Allocators'!E129</f>
        <v>692253.4935186841</v>
      </c>
      <c r="F76" s="315">
        <f>F$72*'Monthly Energy Allocators'!F129</f>
        <v>650423.4187898522</v>
      </c>
      <c r="G76" s="315">
        <f>G$72*'Monthly Energy Allocators'!G129</f>
        <v>723214.1760315013</v>
      </c>
      <c r="H76" s="315">
        <f>H$72*'Monthly Energy Allocators'!H129</f>
        <v>736094.1089957637</v>
      </c>
      <c r="I76" s="315">
        <f>I$72*'Monthly Energy Allocators'!I129</f>
        <v>807850.1953758242</v>
      </c>
      <c r="J76" s="315">
        <f>J$72*'Monthly Energy Allocators'!J129</f>
        <v>678456.3816385273</v>
      </c>
      <c r="K76" s="315">
        <f>K$72*'Monthly Energy Allocators'!K129</f>
        <v>776880.0203543586</v>
      </c>
      <c r="L76" s="315">
        <f>L$72*'Monthly Energy Allocators'!L129</f>
        <v>789920.3546791847</v>
      </c>
      <c r="M76" s="315">
        <f>M$72*'Monthly Energy Allocators'!M129</f>
        <v>836122.3177665999</v>
      </c>
      <c r="N76" s="448">
        <f t="shared" si="12"/>
        <v>9949753.165429147</v>
      </c>
      <c r="O76" s="433"/>
      <c r="P76" s="433"/>
      <c r="Q76" s="433"/>
      <c r="R76" s="433"/>
      <c r="S76" s="433"/>
      <c r="T76" s="433"/>
    </row>
    <row r="77" spans="1:20" ht="12.75">
      <c r="A77" s="450" t="s">
        <v>50</v>
      </c>
      <c r="B77" s="315">
        <f>B$72*'Monthly Energy Allocators'!B130</f>
        <v>11169012.440454254</v>
      </c>
      <c r="C77" s="315">
        <f>C$72*'Monthly Energy Allocators'!C130</f>
        <v>10002694.056367517</v>
      </c>
      <c r="D77" s="315">
        <f>D$72*'Monthly Energy Allocators'!D130</f>
        <v>8580543.14574399</v>
      </c>
      <c r="E77" s="315">
        <f>E$72*'Monthly Energy Allocators'!E130</f>
        <v>6608067.882650812</v>
      </c>
      <c r="F77" s="315">
        <f>F$72*'Monthly Energy Allocators'!F130</f>
        <v>6128827.801468115</v>
      </c>
      <c r="G77" s="315">
        <f>G$72*'Monthly Energy Allocators'!G130</f>
        <v>7927885.95663649</v>
      </c>
      <c r="H77" s="315">
        <f>H$72*'Monthly Energy Allocators'!H130</f>
        <v>8069046.030015717</v>
      </c>
      <c r="I77" s="315">
        <f>I$72*'Monthly Energy Allocators'!I130</f>
        <v>8605224.661436249</v>
      </c>
      <c r="J77" s="315">
        <f>J$72*'Monthly Energy Allocators'!J130</f>
        <v>6860424.169698725</v>
      </c>
      <c r="K77" s="315">
        <f>K$72*'Monthly Energy Allocators'!K130</f>
        <v>8359033.207225663</v>
      </c>
      <c r="L77" s="315">
        <f>L$72*'Monthly Energy Allocators'!L130</f>
        <v>8555151.782068407</v>
      </c>
      <c r="M77" s="315">
        <f>M$72*'Monthly Energy Allocators'!M130</f>
        <v>8689133.58945144</v>
      </c>
      <c r="N77" s="448">
        <f t="shared" si="12"/>
        <v>99555044.72321737</v>
      </c>
      <c r="O77" s="433"/>
      <c r="P77" s="433"/>
      <c r="Q77" s="433"/>
      <c r="R77" s="433"/>
      <c r="S77" s="433"/>
      <c r="T77" s="433"/>
    </row>
    <row r="78" spans="1:20" ht="12.75">
      <c r="A78" s="450" t="s">
        <v>51</v>
      </c>
      <c r="B78" s="315">
        <f>B$72*'Monthly Energy Allocators'!B131</f>
        <v>1628166.3217299243</v>
      </c>
      <c r="C78" s="315">
        <f>C$72*'Monthly Energy Allocators'!C131</f>
        <v>1348337.2680207505</v>
      </c>
      <c r="D78" s="315">
        <f>D$72*'Monthly Energy Allocators'!D131</f>
        <v>1397871.1284947763</v>
      </c>
      <c r="E78" s="315">
        <f>E$72*'Monthly Energy Allocators'!E131</f>
        <v>1107559.2357494133</v>
      </c>
      <c r="F78" s="315">
        <f>F$72*'Monthly Energy Allocators'!F131</f>
        <v>1076285.5494159386</v>
      </c>
      <c r="G78" s="315">
        <f>G$72*'Monthly Energy Allocators'!G131</f>
        <v>1386237.4562031005</v>
      </c>
      <c r="H78" s="315">
        <f>H$72*'Monthly Energy Allocators'!H131</f>
        <v>1567764.889479112</v>
      </c>
      <c r="I78" s="315">
        <f>I$72*'Monthly Energy Allocators'!I131</f>
        <v>1751763.2247110668</v>
      </c>
      <c r="J78" s="315">
        <f>J$72*'Monthly Energy Allocators'!J131</f>
        <v>1347692.9305563474</v>
      </c>
      <c r="K78" s="315">
        <f>K$72*'Monthly Energy Allocators'!K131</f>
        <v>1489585.008192097</v>
      </c>
      <c r="L78" s="315">
        <f>L$72*'Monthly Energy Allocators'!L131</f>
        <v>1430732.002705524</v>
      </c>
      <c r="M78" s="315">
        <f>M$72*'Monthly Energy Allocators'!M131</f>
        <v>1320446.6846968054</v>
      </c>
      <c r="N78" s="448">
        <f t="shared" si="12"/>
        <v>16852441.699954856</v>
      </c>
      <c r="O78" s="433"/>
      <c r="P78" s="433"/>
      <c r="Q78" s="433"/>
      <c r="R78" s="433"/>
      <c r="S78" s="433"/>
      <c r="T78" s="433"/>
    </row>
    <row r="79" spans="1:20" ht="12.75">
      <c r="A79" s="450" t="s">
        <v>52</v>
      </c>
      <c r="B79" s="315">
        <f>B$72*'Monthly Energy Allocators'!B132</f>
        <v>1100347.4851099218</v>
      </c>
      <c r="C79" s="315">
        <f>C$72*'Monthly Energy Allocators'!C132</f>
        <v>965179.9579423177</v>
      </c>
      <c r="D79" s="315">
        <f>D$72*'Monthly Energy Allocators'!D132</f>
        <v>888772.2759825103</v>
      </c>
      <c r="E79" s="315">
        <f>E$72*'Monthly Energy Allocators'!E132</f>
        <v>687804.9200264136</v>
      </c>
      <c r="F79" s="315">
        <f>F$72*'Monthly Energy Allocators'!F132</f>
        <v>670052.061243335</v>
      </c>
      <c r="G79" s="315">
        <f>G$72*'Monthly Energy Allocators'!G132</f>
        <v>851428.4371544602</v>
      </c>
      <c r="H79" s="315">
        <f>H$72*'Monthly Energy Allocators'!H132</f>
        <v>951362.9885834876</v>
      </c>
      <c r="I79" s="315">
        <f>I$72*'Monthly Energy Allocators'!I132</f>
        <v>856358.917397872</v>
      </c>
      <c r="J79" s="315">
        <f>J$72*'Monthly Energy Allocators'!J132</f>
        <v>802282.8289356816</v>
      </c>
      <c r="K79" s="315">
        <f>K$72*'Monthly Energy Allocators'!K132</f>
        <v>705268.5329918724</v>
      </c>
      <c r="L79" s="315">
        <f>L$72*'Monthly Energy Allocators'!L132</f>
        <v>927693.9872504959</v>
      </c>
      <c r="M79" s="315">
        <f>M$72*'Monthly Energy Allocators'!M132</f>
        <v>850085.4468098321</v>
      </c>
      <c r="N79" s="448">
        <f t="shared" si="12"/>
        <v>10256637.839428201</v>
      </c>
      <c r="O79" s="433"/>
      <c r="P79" s="433"/>
      <c r="Q79" s="433"/>
      <c r="R79" s="433"/>
      <c r="S79" s="433"/>
      <c r="T79" s="433"/>
    </row>
    <row r="80" spans="1:20" ht="12.75">
      <c r="A80" s="450" t="s">
        <v>53</v>
      </c>
      <c r="B80" s="315">
        <f>B$72*'Monthly Energy Allocators'!B133</f>
        <v>1711220.8517760148</v>
      </c>
      <c r="C80" s="315">
        <f>C$72*'Monthly Energy Allocators'!C133</f>
        <v>1677803.0304087691</v>
      </c>
      <c r="D80" s="315">
        <f>D$72*'Monthly Energy Allocators'!D133</f>
        <v>1611623.947910572</v>
      </c>
      <c r="E80" s="315">
        <f>E$72*'Monthly Energy Allocators'!E133</f>
        <v>1430376.729329711</v>
      </c>
      <c r="F80" s="315">
        <f>F$72*'Monthly Energy Allocators'!F133</f>
        <v>1225356.1327644326</v>
      </c>
      <c r="G80" s="315">
        <f>G$72*'Monthly Energy Allocators'!G133</f>
        <v>1737244.1264383048</v>
      </c>
      <c r="H80" s="315">
        <f>H$72*'Monthly Energy Allocators'!H133</f>
        <v>1698542.2823977491</v>
      </c>
      <c r="I80" s="315">
        <f>I$72*'Monthly Energy Allocators'!I133</f>
        <v>1805851.8158914843</v>
      </c>
      <c r="J80" s="315">
        <f>J$72*'Monthly Energy Allocators'!J133</f>
        <v>1614465.8028307052</v>
      </c>
      <c r="K80" s="315">
        <f>K$72*'Monthly Energy Allocators'!K133</f>
        <v>1767992.4416943404</v>
      </c>
      <c r="L80" s="315">
        <f>L$72*'Monthly Energy Allocators'!L133</f>
        <v>1835561.811930905</v>
      </c>
      <c r="M80" s="315">
        <f>M$72*'Monthly Energy Allocators'!M133</f>
        <v>1643445.7374081223</v>
      </c>
      <c r="N80" s="448">
        <f t="shared" si="12"/>
        <v>19759484.710781112</v>
      </c>
      <c r="O80" s="433"/>
      <c r="P80" s="433"/>
      <c r="Q80" s="433"/>
      <c r="R80" s="433"/>
      <c r="S80" s="433"/>
      <c r="T80" s="433"/>
    </row>
    <row r="81" spans="1:20" ht="12.75">
      <c r="A81" s="450" t="s">
        <v>54</v>
      </c>
      <c r="B81" s="315">
        <f>B$72*'Monthly Energy Allocators'!B134</f>
        <v>3506415.6874170257</v>
      </c>
      <c r="C81" s="315">
        <f>C$72*'Monthly Energy Allocators'!C134</f>
        <v>3113760.4820938054</v>
      </c>
      <c r="D81" s="315">
        <f>D$72*'Monthly Energy Allocators'!D134</f>
        <v>2851524.6810189337</v>
      </c>
      <c r="E81" s="315">
        <f>E$72*'Monthly Energy Allocators'!E134</f>
        <v>2539404.84346062</v>
      </c>
      <c r="F81" s="315">
        <f>F$72*'Monthly Energy Allocators'!F134</f>
        <v>2441778.3432390597</v>
      </c>
      <c r="G81" s="315">
        <f>G$72*'Monthly Energy Allocators'!G134</f>
        <v>3220421.180238981</v>
      </c>
      <c r="H81" s="315">
        <f>H$72*'Monthly Energy Allocators'!H134</f>
        <v>3129908.487278663</v>
      </c>
      <c r="I81" s="315">
        <f>I$72*'Monthly Energy Allocators'!I134</f>
        <v>3550792.5779564087</v>
      </c>
      <c r="J81" s="315">
        <f>J$72*'Monthly Energy Allocators'!J134</f>
        <v>3022476.3929163264</v>
      </c>
      <c r="K81" s="315">
        <f>K$72*'Monthly Energy Allocators'!K134</f>
        <v>3245754.790674504</v>
      </c>
      <c r="L81" s="315">
        <f>L$72*'Monthly Energy Allocators'!L134</f>
        <v>3317750.2351643806</v>
      </c>
      <c r="M81" s="315">
        <f>M$72*'Monthly Energy Allocators'!M134</f>
        <v>2558945.936579659</v>
      </c>
      <c r="N81" s="448">
        <f t="shared" si="12"/>
        <v>36498933.63803837</v>
      </c>
      <c r="O81" s="433"/>
      <c r="P81" s="433"/>
      <c r="Q81" s="433"/>
      <c r="R81" s="433"/>
      <c r="S81" s="433"/>
      <c r="T81" s="433"/>
    </row>
    <row r="82" spans="1:20" ht="12.75">
      <c r="A82" s="450" t="s">
        <v>58</v>
      </c>
      <c r="B82" s="315">
        <f>B$72*'Monthly Energy Allocators'!B135</f>
        <v>7095570.562612472</v>
      </c>
      <c r="C82" s="315">
        <f>C$72*'Monthly Energy Allocators'!C135</f>
        <v>6055045.779270851</v>
      </c>
      <c r="D82" s="315">
        <f>D$72*'Monthly Energy Allocators'!D135</f>
        <v>5721092.861471548</v>
      </c>
      <c r="E82" s="315">
        <f>E$72*'Monthly Energy Allocators'!E135</f>
        <v>5109671.512436961</v>
      </c>
      <c r="F82" s="315">
        <f>F$72*'Monthly Energy Allocators'!F135</f>
        <v>5014105.816657515</v>
      </c>
      <c r="G82" s="315">
        <f>G$72*'Monthly Energy Allocators'!G135</f>
        <v>6335422.313166998</v>
      </c>
      <c r="H82" s="315">
        <f>H$72*'Monthly Energy Allocators'!H135</f>
        <v>6397475.321600153</v>
      </c>
      <c r="I82" s="315">
        <f>I$72*'Monthly Energy Allocators'!I135</f>
        <v>7017869.233159513</v>
      </c>
      <c r="J82" s="315">
        <f>J$72*'Monthly Energy Allocators'!J135</f>
        <v>3229684.1998218372</v>
      </c>
      <c r="K82" s="315">
        <f>K$72*'Monthly Energy Allocators'!K135</f>
        <v>1208449.6524551325</v>
      </c>
      <c r="L82" s="315">
        <f>L$72*'Monthly Energy Allocators'!L135</f>
        <v>986658.584235472</v>
      </c>
      <c r="M82" s="315">
        <f>M$72*'Monthly Energy Allocators'!M135</f>
        <v>987486.8975605541</v>
      </c>
      <c r="N82" s="448">
        <f t="shared" si="12"/>
        <v>55158532.734449014</v>
      </c>
      <c r="O82" s="433"/>
      <c r="P82" s="433"/>
      <c r="Q82" s="433"/>
      <c r="R82" s="433"/>
      <c r="S82" s="433"/>
      <c r="T82" s="433"/>
    </row>
    <row r="83" spans="1:20" ht="12.75">
      <c r="A83" s="450" t="s">
        <v>55</v>
      </c>
      <c r="B83" s="315">
        <f>B$72*'Monthly Energy Allocators'!B136</f>
        <v>926062.6526968055</v>
      </c>
      <c r="C83" s="315">
        <f>C$72*'Monthly Energy Allocators'!C136</f>
        <v>826256.1618947292</v>
      </c>
      <c r="D83" s="315">
        <f>D$72*'Monthly Energy Allocators'!D136</f>
        <v>715628.0631338872</v>
      </c>
      <c r="E83" s="315">
        <f>E$72*'Monthly Energy Allocators'!E136</f>
        <v>530639.2742524957</v>
      </c>
      <c r="F83" s="315">
        <f>F$72*'Monthly Energy Allocators'!F136</f>
        <v>450055.37180981966</v>
      </c>
      <c r="G83" s="315">
        <f>G$72*'Monthly Energy Allocators'!G136</f>
        <v>526397.7780875643</v>
      </c>
      <c r="H83" s="315">
        <f>H$72*'Monthly Energy Allocators'!H136</f>
        <v>547969.6380190523</v>
      </c>
      <c r="I83" s="315">
        <f>I$72*'Monthly Energy Allocators'!I136</f>
        <v>603097.9764191753</v>
      </c>
      <c r="J83" s="315">
        <f>J$72*'Monthly Energy Allocators'!J136</f>
        <v>488642.57989730197</v>
      </c>
      <c r="K83" s="315">
        <f>K$72*'Monthly Energy Allocators'!K136</f>
        <v>634198.9796330688</v>
      </c>
      <c r="L83" s="315">
        <f>L$72*'Monthly Energy Allocators'!L136</f>
        <v>674716.0264966636</v>
      </c>
      <c r="M83" s="315">
        <f>M$72*'Monthly Energy Allocators'!M136</f>
        <v>717853.3271389116</v>
      </c>
      <c r="N83" s="448">
        <f t="shared" si="12"/>
        <v>7641517.8294794755</v>
      </c>
      <c r="O83" s="433"/>
      <c r="P83" s="433"/>
      <c r="Q83" s="433"/>
      <c r="R83" s="433"/>
      <c r="S83" s="433"/>
      <c r="T83" s="433"/>
    </row>
    <row r="84" spans="1:20" ht="12.75">
      <c r="A84" s="450" t="s">
        <v>56</v>
      </c>
      <c r="B84" s="315">
        <f>B$72*'Monthly Energy Allocators'!B137</f>
        <v>436188.51006568974</v>
      </c>
      <c r="C84" s="315">
        <f>C$72*'Monthly Energy Allocators'!C137</f>
        <v>415243.59457136836</v>
      </c>
      <c r="D84" s="315">
        <f>D$72*'Monthly Energy Allocators'!D137</f>
        <v>396704.83023143443</v>
      </c>
      <c r="E84" s="315">
        <f>E$72*'Monthly Energy Allocators'!E137</f>
        <v>329318.12712766323</v>
      </c>
      <c r="F84" s="315">
        <f>F$72*'Monthly Energy Allocators'!F137</f>
        <v>333709.43895150826</v>
      </c>
      <c r="G84" s="315">
        <f>G$72*'Monthly Energy Allocators'!G137</f>
        <v>382023.72090731957</v>
      </c>
      <c r="H84" s="315">
        <f>H$72*'Monthly Energy Allocators'!H137</f>
        <v>391992.6888885538</v>
      </c>
      <c r="I84" s="315">
        <f>I$72*'Monthly Energy Allocators'!I137</f>
        <v>447336.2105527519</v>
      </c>
      <c r="J84" s="315">
        <f>J$72*'Monthly Energy Allocators'!J137</f>
        <v>378345.0779311404</v>
      </c>
      <c r="K84" s="315">
        <f>K$72*'Monthly Energy Allocators'!K137</f>
        <v>403418.4858490563</v>
      </c>
      <c r="L84" s="315">
        <f>L$72*'Monthly Energy Allocators'!L137</f>
        <v>458110.75610720355</v>
      </c>
      <c r="M84" s="315">
        <f>M$72*'Monthly Energy Allocators'!M137</f>
        <v>378181.17779879604</v>
      </c>
      <c r="N84" s="448">
        <f t="shared" si="12"/>
        <v>4750572.618982486</v>
      </c>
      <c r="O84" s="433"/>
      <c r="P84" s="433"/>
      <c r="Q84" s="433"/>
      <c r="R84" s="433"/>
      <c r="S84" s="433"/>
      <c r="T84" s="433"/>
    </row>
    <row r="85" spans="1:20" ht="12.75">
      <c r="A85" s="451" t="s">
        <v>47</v>
      </c>
      <c r="B85" s="315">
        <f>B$72*'Monthly Energy Allocators'!B138</f>
        <v>53853918.895721205</v>
      </c>
      <c r="C85" s="315">
        <f>C$72*'Monthly Energy Allocators'!C138</f>
        <v>47043586.07352246</v>
      </c>
      <c r="D85" s="315">
        <f>D$72*'Monthly Energy Allocators'!D138</f>
        <v>40932190.096973486</v>
      </c>
      <c r="E85" s="315">
        <f>E$72*'Monthly Energy Allocators'!E138</f>
        <v>31750775.810451265</v>
      </c>
      <c r="F85" s="315">
        <f>F$72*'Monthly Energy Allocators'!F138</f>
        <v>28929396.667311423</v>
      </c>
      <c r="G85" s="315">
        <f>G$72*'Monthly Energy Allocators'!G138</f>
        <v>34742753.90823326</v>
      </c>
      <c r="H85" s="315">
        <f>H$72*'Monthly Energy Allocators'!H138</f>
        <v>34564630.847592175</v>
      </c>
      <c r="I85" s="315">
        <f>I$72*'Monthly Energy Allocators'!I138</f>
        <v>37596179.4886872</v>
      </c>
      <c r="J85" s="315">
        <f>J$72*'Monthly Energy Allocators'!J138</f>
        <v>28621163.410434447</v>
      </c>
      <c r="K85" s="315">
        <f>K$72*'Monthly Energy Allocators'!K138</f>
        <v>31484690.971288078</v>
      </c>
      <c r="L85" s="315">
        <f>L$72*'Monthly Energy Allocators'!L138</f>
        <v>34703581.064</v>
      </c>
      <c r="M85" s="315">
        <f>M$72*'Monthly Energy Allocators'!M138</f>
        <v>35893660.19004</v>
      </c>
      <c r="N85" s="448">
        <f t="shared" si="12"/>
        <v>440116527.424255</v>
      </c>
      <c r="O85" s="433"/>
      <c r="P85" s="433"/>
      <c r="Q85" s="433"/>
      <c r="R85" s="433"/>
      <c r="S85" s="433"/>
      <c r="T85" s="433"/>
    </row>
    <row r="86" spans="1:20" ht="12.75">
      <c r="A86" s="439"/>
      <c r="B86" s="315"/>
      <c r="C86" s="440"/>
      <c r="D86" s="440"/>
      <c r="E86" s="440"/>
      <c r="F86" s="440"/>
      <c r="G86" s="440"/>
      <c r="H86" s="440"/>
      <c r="I86" s="440"/>
      <c r="J86" s="440"/>
      <c r="K86" s="440"/>
      <c r="L86" s="440"/>
      <c r="M86" s="440"/>
      <c r="N86" s="436"/>
      <c r="O86" s="433"/>
      <c r="P86" s="433"/>
      <c r="Q86" s="433"/>
      <c r="R86" s="433"/>
      <c r="S86" s="433"/>
      <c r="T86" s="433"/>
    </row>
    <row r="87" spans="1:20" ht="12.75">
      <c r="A87" s="439"/>
      <c r="B87" s="315"/>
      <c r="C87" s="440"/>
      <c r="D87" s="440"/>
      <c r="E87" s="440"/>
      <c r="F87" s="440"/>
      <c r="G87" s="440"/>
      <c r="H87" s="440"/>
      <c r="I87" s="440"/>
      <c r="J87" s="440"/>
      <c r="K87" s="440"/>
      <c r="L87" s="440"/>
      <c r="M87" s="440"/>
      <c r="N87" s="436"/>
      <c r="O87" s="433"/>
      <c r="P87" s="433"/>
      <c r="Q87" s="433"/>
      <c r="R87" s="433"/>
      <c r="S87" s="433"/>
      <c r="T87" s="433"/>
    </row>
    <row r="88" spans="1:20" ht="12.75">
      <c r="A88" s="439"/>
      <c r="B88" s="315"/>
      <c r="C88" s="440"/>
      <c r="D88" s="440"/>
      <c r="E88" s="440"/>
      <c r="F88" s="440"/>
      <c r="G88" s="440"/>
      <c r="H88" s="440"/>
      <c r="I88" s="440"/>
      <c r="J88" s="440"/>
      <c r="K88" s="440"/>
      <c r="L88" s="440"/>
      <c r="M88" s="440"/>
      <c r="N88" s="436"/>
      <c r="O88" s="433"/>
      <c r="P88" s="433"/>
      <c r="Q88" s="433"/>
      <c r="R88" s="433"/>
      <c r="S88" s="433"/>
      <c r="T88" s="433"/>
    </row>
    <row r="89" spans="1:20" ht="12.75">
      <c r="A89" s="439"/>
      <c r="B89" s="315"/>
      <c r="C89" s="440"/>
      <c r="D89" s="440"/>
      <c r="E89" s="440"/>
      <c r="F89" s="440"/>
      <c r="G89" s="440"/>
      <c r="H89" s="440"/>
      <c r="I89" s="440"/>
      <c r="J89" s="440"/>
      <c r="K89" s="440"/>
      <c r="L89" s="440"/>
      <c r="M89" s="440"/>
      <c r="N89" s="436"/>
      <c r="O89" s="433"/>
      <c r="P89" s="433"/>
      <c r="Q89" s="433"/>
      <c r="R89" s="433"/>
      <c r="S89" s="433"/>
      <c r="T89" s="433"/>
    </row>
    <row r="90" spans="1:20" ht="12.75">
      <c r="A90" s="439"/>
      <c r="B90" s="315"/>
      <c r="C90" s="440"/>
      <c r="D90" s="440"/>
      <c r="E90" s="440"/>
      <c r="F90" s="440"/>
      <c r="G90" s="440"/>
      <c r="H90" s="440"/>
      <c r="I90" s="440"/>
      <c r="J90" s="440"/>
      <c r="K90" s="440"/>
      <c r="L90" s="440"/>
      <c r="M90" s="440"/>
      <c r="N90" s="436"/>
      <c r="O90" s="433"/>
      <c r="P90" s="433"/>
      <c r="Q90" s="433"/>
      <c r="R90" s="433"/>
      <c r="S90" s="433"/>
      <c r="T90" s="433"/>
    </row>
    <row r="91" spans="1:20" ht="12.75">
      <c r="A91" s="439"/>
      <c r="B91" s="315"/>
      <c r="C91" s="440"/>
      <c r="D91" s="440"/>
      <c r="E91" s="440"/>
      <c r="F91" s="440"/>
      <c r="G91" s="440"/>
      <c r="H91" s="440"/>
      <c r="I91" s="440"/>
      <c r="J91" s="440"/>
      <c r="K91" s="440"/>
      <c r="L91" s="440"/>
      <c r="M91" s="440"/>
      <c r="N91" s="436"/>
      <c r="O91" s="433"/>
      <c r="P91" s="433"/>
      <c r="Q91" s="433"/>
      <c r="R91" s="433"/>
      <c r="S91" s="433"/>
      <c r="T91" s="433"/>
    </row>
    <row r="92" spans="1:20" ht="12.75">
      <c r="A92" s="439"/>
      <c r="B92" s="315"/>
      <c r="C92" s="440"/>
      <c r="D92" s="440"/>
      <c r="E92" s="440"/>
      <c r="F92" s="440"/>
      <c r="G92" s="440"/>
      <c r="H92" s="440"/>
      <c r="I92" s="440"/>
      <c r="J92" s="440"/>
      <c r="K92" s="440"/>
      <c r="L92" s="440"/>
      <c r="M92" s="440"/>
      <c r="N92" s="436"/>
      <c r="O92" s="433"/>
      <c r="P92" s="433"/>
      <c r="Q92" s="433"/>
      <c r="R92" s="433"/>
      <c r="S92" s="433"/>
      <c r="T92" s="433"/>
    </row>
    <row r="93" spans="1:20" ht="15.75">
      <c r="A93" s="452"/>
      <c r="B93" s="315"/>
      <c r="C93" s="440"/>
      <c r="D93" s="440"/>
      <c r="E93" s="440"/>
      <c r="F93" s="440"/>
      <c r="G93" s="440"/>
      <c r="H93" s="440"/>
      <c r="I93" s="440"/>
      <c r="J93" s="440"/>
      <c r="K93" s="440"/>
      <c r="L93" s="440"/>
      <c r="M93" s="440"/>
      <c r="N93" s="453"/>
      <c r="O93" s="433"/>
      <c r="P93" s="433"/>
      <c r="Q93" s="433"/>
      <c r="R93" s="433"/>
      <c r="S93" s="433"/>
      <c r="T93" s="433"/>
    </row>
    <row r="94" spans="1:20" ht="12.75">
      <c r="A94" s="454"/>
      <c r="B94" s="440"/>
      <c r="C94" s="440"/>
      <c r="D94" s="440"/>
      <c r="E94" s="440"/>
      <c r="F94" s="440"/>
      <c r="G94" s="440"/>
      <c r="H94" s="440"/>
      <c r="I94" s="440"/>
      <c r="J94" s="440"/>
      <c r="K94" s="440"/>
      <c r="L94" s="440"/>
      <c r="M94" s="440"/>
      <c r="N94" s="436"/>
      <c r="O94" s="433"/>
      <c r="P94" s="433"/>
      <c r="Q94" s="433"/>
      <c r="R94" s="433"/>
      <c r="S94" s="433"/>
      <c r="T94" s="433"/>
    </row>
    <row r="95" spans="1:20" ht="12.75">
      <c r="A95" s="434"/>
      <c r="B95" s="440"/>
      <c r="C95" s="440"/>
      <c r="D95" s="440"/>
      <c r="E95" s="440"/>
      <c r="F95" s="440"/>
      <c r="G95" s="440"/>
      <c r="H95" s="440"/>
      <c r="I95" s="440"/>
      <c r="J95" s="440"/>
      <c r="K95" s="440"/>
      <c r="L95" s="440"/>
      <c r="M95" s="440"/>
      <c r="N95" s="438"/>
      <c r="O95" s="433"/>
      <c r="P95" s="433"/>
      <c r="Q95" s="433"/>
      <c r="R95" s="433"/>
      <c r="S95" s="433"/>
      <c r="T95" s="433"/>
    </row>
    <row r="96" spans="1:20" ht="12.75">
      <c r="A96" s="434"/>
      <c r="B96" s="315"/>
      <c r="C96" s="315"/>
      <c r="D96" s="315"/>
      <c r="E96" s="315"/>
      <c r="F96" s="315"/>
      <c r="G96" s="315"/>
      <c r="H96" s="315"/>
      <c r="I96" s="315"/>
      <c r="J96" s="315"/>
      <c r="K96" s="315"/>
      <c r="L96" s="315"/>
      <c r="M96" s="315"/>
      <c r="N96" s="436"/>
      <c r="O96" s="433"/>
      <c r="P96" s="433"/>
      <c r="Q96" s="433"/>
      <c r="R96" s="433"/>
      <c r="S96" s="433"/>
      <c r="T96" s="433"/>
    </row>
    <row r="97" spans="1:20" ht="12.75">
      <c r="A97" s="434"/>
      <c r="B97" s="455"/>
      <c r="C97" s="455"/>
      <c r="D97" s="455"/>
      <c r="E97" s="455"/>
      <c r="F97" s="455"/>
      <c r="G97" s="455"/>
      <c r="H97" s="455"/>
      <c r="I97" s="455"/>
      <c r="J97" s="455"/>
      <c r="K97" s="455"/>
      <c r="L97" s="455"/>
      <c r="M97" s="455"/>
      <c r="N97" s="436"/>
      <c r="O97" s="433"/>
      <c r="P97" s="433"/>
      <c r="Q97" s="433"/>
      <c r="R97" s="433"/>
      <c r="S97" s="433"/>
      <c r="T97" s="433"/>
    </row>
    <row r="98" spans="1:20" ht="12.75">
      <c r="A98" s="434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436"/>
      <c r="P98" s="433"/>
      <c r="Q98" s="433"/>
      <c r="R98" s="433"/>
      <c r="S98" s="433"/>
      <c r="T98" s="433"/>
    </row>
    <row r="99" spans="1:20" ht="12.75">
      <c r="A99" s="434"/>
      <c r="B99" s="315"/>
      <c r="C99" s="440"/>
      <c r="D99" s="440"/>
      <c r="E99" s="440"/>
      <c r="F99" s="440"/>
      <c r="G99" s="440"/>
      <c r="H99" s="440"/>
      <c r="I99" s="440"/>
      <c r="J99" s="440"/>
      <c r="K99" s="440"/>
      <c r="L99" s="440"/>
      <c r="M99" s="440"/>
      <c r="N99" s="436"/>
      <c r="P99" s="433"/>
      <c r="Q99" s="433"/>
      <c r="R99" s="433"/>
      <c r="S99" s="433"/>
      <c r="T99" s="433"/>
    </row>
    <row r="100" spans="1:20" ht="12.75">
      <c r="A100" s="434"/>
      <c r="B100" s="315"/>
      <c r="C100" s="440"/>
      <c r="D100" s="440"/>
      <c r="E100" s="440"/>
      <c r="F100" s="440"/>
      <c r="G100" s="440"/>
      <c r="H100" s="440"/>
      <c r="I100" s="440"/>
      <c r="J100" s="440"/>
      <c r="K100" s="440"/>
      <c r="L100" s="440"/>
      <c r="M100" s="440"/>
      <c r="N100" s="436"/>
      <c r="P100" s="433"/>
      <c r="Q100" s="433"/>
      <c r="R100" s="433"/>
      <c r="S100" s="433"/>
      <c r="T100" s="433"/>
    </row>
    <row r="101" spans="1:20" ht="12.75">
      <c r="A101" s="434"/>
      <c r="B101" s="315"/>
      <c r="C101" s="440"/>
      <c r="D101" s="440"/>
      <c r="E101" s="440"/>
      <c r="F101" s="440"/>
      <c r="G101" s="440"/>
      <c r="H101" s="440"/>
      <c r="I101" s="440"/>
      <c r="J101" s="440"/>
      <c r="K101" s="440"/>
      <c r="L101" s="440"/>
      <c r="M101" s="440"/>
      <c r="N101" s="436"/>
      <c r="P101" s="433"/>
      <c r="Q101" s="433"/>
      <c r="R101" s="433"/>
      <c r="S101" s="433"/>
      <c r="T101" s="433"/>
    </row>
    <row r="102" spans="1:20" ht="12.75">
      <c r="A102" s="434"/>
      <c r="B102" s="315"/>
      <c r="C102" s="440"/>
      <c r="D102" s="440"/>
      <c r="E102" s="440"/>
      <c r="F102" s="440"/>
      <c r="G102" s="440"/>
      <c r="H102" s="440"/>
      <c r="I102" s="440"/>
      <c r="J102" s="440"/>
      <c r="K102" s="440"/>
      <c r="L102" s="440"/>
      <c r="M102" s="440"/>
      <c r="N102" s="436"/>
      <c r="P102" s="433"/>
      <c r="Q102" s="433"/>
      <c r="R102" s="433"/>
      <c r="S102" s="433"/>
      <c r="T102" s="433"/>
    </row>
    <row r="103" spans="1:20" ht="12.75">
      <c r="A103" s="434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436"/>
      <c r="O103" s="433"/>
      <c r="P103" s="433"/>
      <c r="Q103" s="433"/>
      <c r="R103" s="433"/>
      <c r="S103" s="433"/>
      <c r="T103" s="433"/>
    </row>
    <row r="104" spans="1:20" ht="12.75">
      <c r="A104" s="434"/>
      <c r="B104" s="315"/>
      <c r="C104" s="440"/>
      <c r="D104" s="440"/>
      <c r="E104" s="440"/>
      <c r="F104" s="440"/>
      <c r="G104" s="440"/>
      <c r="H104" s="440"/>
      <c r="I104" s="440"/>
      <c r="J104" s="440"/>
      <c r="K104" s="440"/>
      <c r="L104" s="440"/>
      <c r="M104" s="440"/>
      <c r="O104" s="433"/>
      <c r="P104" s="433"/>
      <c r="Q104" s="433"/>
      <c r="R104" s="433"/>
      <c r="S104" s="433"/>
      <c r="T104" s="433"/>
    </row>
    <row r="105" spans="1:20" ht="12.75">
      <c r="A105" s="441"/>
      <c r="B105" s="315"/>
      <c r="C105" s="440"/>
      <c r="D105" s="440"/>
      <c r="E105" s="440"/>
      <c r="F105" s="440"/>
      <c r="G105" s="440"/>
      <c r="H105" s="440"/>
      <c r="I105" s="440"/>
      <c r="J105" s="440"/>
      <c r="K105" s="440"/>
      <c r="L105" s="440"/>
      <c r="M105" s="440"/>
      <c r="N105" s="436"/>
      <c r="O105" s="433"/>
      <c r="P105" s="433"/>
      <c r="Q105" s="433"/>
      <c r="R105" s="433"/>
      <c r="S105" s="433"/>
      <c r="T105" s="433"/>
    </row>
    <row r="106" spans="1:20" ht="12.75">
      <c r="A106" s="434"/>
      <c r="B106" s="315"/>
      <c r="C106" s="315"/>
      <c r="D106" s="315"/>
      <c r="E106" s="315"/>
      <c r="F106" s="315"/>
      <c r="G106" s="315"/>
      <c r="H106" s="315"/>
      <c r="I106" s="315"/>
      <c r="J106" s="315"/>
      <c r="K106" s="315"/>
      <c r="L106" s="315"/>
      <c r="M106" s="315"/>
      <c r="N106" s="436"/>
      <c r="O106" s="433"/>
      <c r="P106" s="433"/>
      <c r="Q106" s="433"/>
      <c r="R106" s="433"/>
      <c r="S106" s="433"/>
      <c r="T106" s="433"/>
    </row>
    <row r="107" spans="1:20" ht="12.75">
      <c r="A107" s="456"/>
      <c r="B107" s="440"/>
      <c r="C107" s="440"/>
      <c r="D107" s="440"/>
      <c r="E107" s="440"/>
      <c r="F107" s="440"/>
      <c r="G107" s="440"/>
      <c r="H107" s="440"/>
      <c r="I107" s="440"/>
      <c r="J107" s="440"/>
      <c r="K107" s="440"/>
      <c r="L107" s="440"/>
      <c r="M107" s="440"/>
      <c r="N107" s="438"/>
      <c r="O107" s="433"/>
      <c r="P107" s="433"/>
      <c r="Q107" s="433"/>
      <c r="R107" s="433"/>
      <c r="S107" s="433"/>
      <c r="T107" s="433"/>
    </row>
    <row r="108" spans="1:20" ht="12.75">
      <c r="A108" s="441"/>
      <c r="B108" s="315"/>
      <c r="C108" s="440"/>
      <c r="D108" s="440"/>
      <c r="E108" s="440"/>
      <c r="F108" s="440"/>
      <c r="G108" s="440"/>
      <c r="H108" s="440"/>
      <c r="I108" s="440"/>
      <c r="J108" s="440"/>
      <c r="K108" s="440"/>
      <c r="L108" s="440"/>
      <c r="M108" s="440"/>
      <c r="N108" s="436"/>
      <c r="O108" s="433"/>
      <c r="P108" s="433"/>
      <c r="Q108" s="433"/>
      <c r="R108" s="433"/>
      <c r="S108" s="433"/>
      <c r="T108" s="433"/>
    </row>
    <row r="109" spans="1:20" ht="12.75">
      <c r="A109" s="434"/>
      <c r="B109" s="455"/>
      <c r="C109" s="455"/>
      <c r="D109" s="455"/>
      <c r="E109" s="455"/>
      <c r="F109" s="455"/>
      <c r="G109" s="455"/>
      <c r="H109" s="455"/>
      <c r="I109" s="455"/>
      <c r="J109" s="455"/>
      <c r="K109" s="455"/>
      <c r="L109" s="455"/>
      <c r="M109" s="455"/>
      <c r="N109" s="436"/>
      <c r="O109" s="433"/>
      <c r="P109" s="433"/>
      <c r="Q109" s="433"/>
      <c r="R109" s="433"/>
      <c r="S109" s="433"/>
      <c r="T109" s="433"/>
    </row>
    <row r="110" spans="1:20" ht="12.75">
      <c r="A110" s="434"/>
      <c r="B110" s="315"/>
      <c r="C110" s="315"/>
      <c r="D110" s="315"/>
      <c r="E110" s="315"/>
      <c r="F110" s="315"/>
      <c r="G110" s="315"/>
      <c r="H110" s="315"/>
      <c r="I110" s="315"/>
      <c r="J110" s="315"/>
      <c r="K110" s="315"/>
      <c r="L110" s="315"/>
      <c r="M110" s="315"/>
      <c r="N110" s="436"/>
      <c r="O110" s="433"/>
      <c r="P110" s="433"/>
      <c r="Q110" s="433"/>
      <c r="R110" s="433"/>
      <c r="S110" s="433"/>
      <c r="T110" s="433"/>
    </row>
    <row r="111" spans="1:20" ht="12.75">
      <c r="A111" s="441"/>
      <c r="B111" s="457"/>
      <c r="C111" s="457"/>
      <c r="D111" s="457"/>
      <c r="E111" s="457"/>
      <c r="F111" s="457"/>
      <c r="G111" s="457"/>
      <c r="H111" s="457"/>
      <c r="I111" s="457"/>
      <c r="J111" s="457"/>
      <c r="K111" s="457"/>
      <c r="L111" s="457"/>
      <c r="M111" s="457"/>
      <c r="O111" s="433"/>
      <c r="P111" s="433"/>
      <c r="Q111" s="433"/>
      <c r="R111" s="433"/>
      <c r="S111" s="433"/>
      <c r="T111" s="433"/>
    </row>
    <row r="112" spans="1:20" ht="12.75">
      <c r="A112" s="434"/>
      <c r="B112" s="455"/>
      <c r="C112" s="455"/>
      <c r="D112" s="455"/>
      <c r="E112" s="455"/>
      <c r="F112" s="455"/>
      <c r="G112" s="455"/>
      <c r="H112" s="455"/>
      <c r="I112" s="455"/>
      <c r="J112" s="455"/>
      <c r="K112" s="455"/>
      <c r="L112" s="455"/>
      <c r="M112" s="455"/>
      <c r="N112" s="436"/>
      <c r="O112" s="433"/>
      <c r="P112" s="433"/>
      <c r="Q112" s="433"/>
      <c r="R112" s="433"/>
      <c r="S112" s="433"/>
      <c r="T112" s="433"/>
    </row>
    <row r="113" spans="1:20" ht="12.75">
      <c r="A113" s="434"/>
      <c r="B113" s="315"/>
      <c r="C113" s="315"/>
      <c r="D113" s="315"/>
      <c r="E113" s="315"/>
      <c r="F113" s="315"/>
      <c r="G113" s="315"/>
      <c r="H113" s="315"/>
      <c r="I113" s="315"/>
      <c r="J113" s="315"/>
      <c r="K113" s="315"/>
      <c r="L113" s="315"/>
      <c r="M113" s="315"/>
      <c r="N113" s="436"/>
      <c r="O113" s="433"/>
      <c r="P113" s="433"/>
      <c r="Q113" s="433"/>
      <c r="R113" s="433"/>
      <c r="S113" s="433"/>
      <c r="T113" s="433"/>
    </row>
    <row r="114" spans="1:20" ht="12.75">
      <c r="A114" s="434"/>
      <c r="B114" s="455"/>
      <c r="C114" s="455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36"/>
      <c r="O114" s="433"/>
      <c r="P114" s="433"/>
      <c r="Q114" s="433"/>
      <c r="R114" s="433"/>
      <c r="S114" s="433"/>
      <c r="T114" s="433"/>
    </row>
    <row r="115" spans="1:20" ht="12.75">
      <c r="A115" s="434"/>
      <c r="B115" s="315"/>
      <c r="C115" s="315"/>
      <c r="D115" s="315"/>
      <c r="E115" s="315"/>
      <c r="F115" s="315"/>
      <c r="G115" s="315"/>
      <c r="H115" s="315"/>
      <c r="I115" s="315"/>
      <c r="J115" s="315"/>
      <c r="K115" s="315"/>
      <c r="L115" s="315"/>
      <c r="M115" s="315"/>
      <c r="N115" s="436"/>
      <c r="O115" s="433"/>
      <c r="P115" s="433"/>
      <c r="Q115" s="433"/>
      <c r="R115" s="433"/>
      <c r="S115" s="433"/>
      <c r="T115" s="433"/>
    </row>
    <row r="116" spans="1:20" ht="11.25" customHeight="1">
      <c r="A116" s="434"/>
      <c r="B116" s="315"/>
      <c r="C116" s="440"/>
      <c r="D116" s="440"/>
      <c r="E116" s="440"/>
      <c r="F116" s="440"/>
      <c r="G116" s="440"/>
      <c r="H116" s="440"/>
      <c r="I116" s="440"/>
      <c r="J116" s="440"/>
      <c r="K116" s="440"/>
      <c r="L116" s="440"/>
      <c r="M116" s="440"/>
      <c r="N116" s="436"/>
      <c r="O116" s="433"/>
      <c r="P116" s="433"/>
      <c r="Q116" s="433"/>
      <c r="R116" s="433"/>
      <c r="S116" s="433"/>
      <c r="T116" s="433"/>
    </row>
    <row r="117" spans="1:20" ht="11.25" customHeight="1">
      <c r="A117" s="458"/>
      <c r="B117" s="315"/>
      <c r="C117" s="440"/>
      <c r="D117" s="440"/>
      <c r="E117" s="440"/>
      <c r="F117" s="440"/>
      <c r="G117" s="440"/>
      <c r="H117" s="440"/>
      <c r="I117" s="440"/>
      <c r="J117" s="440"/>
      <c r="K117" s="440"/>
      <c r="L117" s="440"/>
      <c r="M117" s="440"/>
      <c r="N117" s="436"/>
      <c r="O117" s="433"/>
      <c r="P117" s="433"/>
      <c r="Q117" s="433"/>
      <c r="R117" s="433"/>
      <c r="S117" s="433"/>
      <c r="T117" s="433"/>
    </row>
    <row r="118" spans="1:20" ht="11.25" customHeight="1">
      <c r="A118" s="434"/>
      <c r="B118" s="315"/>
      <c r="C118" s="440"/>
      <c r="D118" s="440"/>
      <c r="E118" s="440"/>
      <c r="F118" s="440"/>
      <c r="G118" s="440"/>
      <c r="H118" s="440"/>
      <c r="I118" s="440"/>
      <c r="J118" s="440"/>
      <c r="K118" s="440"/>
      <c r="L118" s="440"/>
      <c r="M118" s="440"/>
      <c r="N118" s="436"/>
      <c r="O118" s="433"/>
      <c r="P118" s="433"/>
      <c r="Q118" s="433"/>
      <c r="R118" s="433"/>
      <c r="S118" s="433"/>
      <c r="T118" s="433"/>
    </row>
    <row r="119" spans="1:20" ht="11.25" customHeight="1">
      <c r="A119" s="458"/>
      <c r="B119" s="315"/>
      <c r="C119" s="315"/>
      <c r="D119" s="315"/>
      <c r="E119" s="315"/>
      <c r="F119" s="315"/>
      <c r="G119" s="315"/>
      <c r="H119" s="315"/>
      <c r="I119" s="315"/>
      <c r="J119" s="315"/>
      <c r="K119" s="315"/>
      <c r="L119" s="315"/>
      <c r="M119" s="315"/>
      <c r="N119" s="436"/>
      <c r="O119" s="433"/>
      <c r="P119" s="433"/>
      <c r="Q119" s="433"/>
      <c r="R119" s="433"/>
      <c r="S119" s="433"/>
      <c r="T119" s="433"/>
    </row>
    <row r="120" spans="1:20" ht="12.75">
      <c r="A120" s="459"/>
      <c r="B120" s="315"/>
      <c r="C120" s="440"/>
      <c r="D120" s="440"/>
      <c r="E120" s="440"/>
      <c r="F120" s="440"/>
      <c r="G120" s="440"/>
      <c r="H120" s="440"/>
      <c r="I120" s="440"/>
      <c r="J120" s="440"/>
      <c r="K120" s="440"/>
      <c r="L120" s="440"/>
      <c r="M120" s="440"/>
      <c r="N120" s="436"/>
      <c r="O120" s="433"/>
      <c r="P120" s="433"/>
      <c r="Q120" s="433"/>
      <c r="R120" s="433"/>
      <c r="S120" s="433"/>
      <c r="T120" s="433"/>
    </row>
    <row r="121" spans="1:20" ht="11.25" customHeight="1">
      <c r="A121" s="434"/>
      <c r="B121" s="437"/>
      <c r="C121" s="437"/>
      <c r="D121" s="437"/>
      <c r="E121" s="437"/>
      <c r="F121" s="437"/>
      <c r="G121" s="437"/>
      <c r="H121" s="437"/>
      <c r="I121" s="437"/>
      <c r="J121" s="437"/>
      <c r="K121" s="437"/>
      <c r="L121" s="437"/>
      <c r="M121" s="437"/>
      <c r="N121" s="438"/>
      <c r="O121" s="433"/>
      <c r="P121" s="433"/>
      <c r="Q121" s="433"/>
      <c r="R121" s="433"/>
      <c r="S121" s="433"/>
      <c r="T121" s="433"/>
    </row>
    <row r="122" spans="1:20" ht="11.25" customHeight="1">
      <c r="A122" s="434"/>
      <c r="B122" s="460"/>
      <c r="C122" s="460"/>
      <c r="D122" s="460"/>
      <c r="E122" s="460"/>
      <c r="F122" s="460"/>
      <c r="G122" s="460"/>
      <c r="H122" s="460"/>
      <c r="I122" s="460"/>
      <c r="J122" s="460"/>
      <c r="K122" s="460"/>
      <c r="L122" s="460"/>
      <c r="M122" s="460"/>
      <c r="N122" s="438"/>
      <c r="O122" s="433"/>
      <c r="P122" s="433"/>
      <c r="Q122" s="433"/>
      <c r="R122" s="433"/>
      <c r="S122" s="433"/>
      <c r="T122" s="433"/>
    </row>
    <row r="123" spans="1:20" ht="11.25" customHeight="1">
      <c r="A123" s="434"/>
      <c r="B123" s="315"/>
      <c r="C123" s="315"/>
      <c r="D123" s="315"/>
      <c r="E123" s="315"/>
      <c r="F123" s="315"/>
      <c r="G123" s="315"/>
      <c r="H123" s="315"/>
      <c r="I123" s="315"/>
      <c r="J123" s="315"/>
      <c r="K123" s="315"/>
      <c r="L123" s="315"/>
      <c r="M123" s="315"/>
      <c r="N123" s="436"/>
      <c r="O123" s="433"/>
      <c r="P123" s="433"/>
      <c r="Q123" s="433"/>
      <c r="R123" s="433"/>
      <c r="S123" s="433"/>
      <c r="T123" s="433"/>
    </row>
    <row r="124" spans="1:20" ht="11.25" customHeight="1">
      <c r="A124" s="434"/>
      <c r="B124" s="455"/>
      <c r="C124" s="455"/>
      <c r="D124" s="455"/>
      <c r="E124" s="455"/>
      <c r="F124" s="455"/>
      <c r="G124" s="455"/>
      <c r="H124" s="455"/>
      <c r="I124" s="455"/>
      <c r="J124" s="455"/>
      <c r="K124" s="455"/>
      <c r="L124" s="455"/>
      <c r="M124" s="455"/>
      <c r="N124" s="436"/>
      <c r="O124" s="433"/>
      <c r="P124" s="433"/>
      <c r="Q124" s="433"/>
      <c r="R124" s="433"/>
      <c r="S124" s="433"/>
      <c r="T124" s="433"/>
    </row>
    <row r="125" spans="1:20" ht="11.25" customHeight="1">
      <c r="A125" s="434"/>
      <c r="B125" s="315"/>
      <c r="C125" s="315"/>
      <c r="D125" s="315"/>
      <c r="E125" s="315"/>
      <c r="F125" s="315"/>
      <c r="G125" s="315"/>
      <c r="H125" s="315"/>
      <c r="I125" s="315"/>
      <c r="J125" s="315"/>
      <c r="K125" s="315"/>
      <c r="L125" s="315"/>
      <c r="M125" s="315"/>
      <c r="N125" s="436"/>
      <c r="O125" s="433"/>
      <c r="P125" s="433"/>
      <c r="Q125" s="433"/>
      <c r="R125" s="433"/>
      <c r="S125" s="433"/>
      <c r="T125" s="433"/>
    </row>
    <row r="126" spans="1:20" ht="11.25" customHeight="1">
      <c r="A126" s="434"/>
      <c r="B126" s="455"/>
      <c r="C126" s="455"/>
      <c r="D126" s="455"/>
      <c r="E126" s="455"/>
      <c r="F126" s="455"/>
      <c r="G126" s="455"/>
      <c r="H126" s="455"/>
      <c r="I126" s="455"/>
      <c r="J126" s="455"/>
      <c r="K126" s="455"/>
      <c r="L126" s="455"/>
      <c r="M126" s="455"/>
      <c r="N126" s="436"/>
      <c r="O126" s="433"/>
      <c r="P126" s="433"/>
      <c r="Q126" s="433"/>
      <c r="R126" s="433"/>
      <c r="S126" s="433"/>
      <c r="T126" s="433"/>
    </row>
    <row r="127" spans="1:20" ht="11.25" customHeight="1">
      <c r="A127" s="434"/>
      <c r="B127" s="315"/>
      <c r="C127" s="315"/>
      <c r="D127" s="315"/>
      <c r="E127" s="315"/>
      <c r="F127" s="315"/>
      <c r="G127" s="315"/>
      <c r="H127" s="315"/>
      <c r="I127" s="315"/>
      <c r="J127" s="315"/>
      <c r="K127" s="315"/>
      <c r="L127" s="315"/>
      <c r="M127" s="315"/>
      <c r="N127" s="436"/>
      <c r="O127" s="433"/>
      <c r="P127" s="433"/>
      <c r="Q127" s="433"/>
      <c r="R127" s="433"/>
      <c r="S127" s="433"/>
      <c r="T127" s="433"/>
    </row>
    <row r="128" spans="1:20" ht="11.25" customHeight="1">
      <c r="A128" s="434"/>
      <c r="B128" s="315"/>
      <c r="C128" s="440"/>
      <c r="D128" s="440"/>
      <c r="E128" s="440"/>
      <c r="F128" s="440"/>
      <c r="G128" s="440"/>
      <c r="H128" s="440"/>
      <c r="I128" s="440"/>
      <c r="J128" s="440"/>
      <c r="K128" s="440"/>
      <c r="L128" s="440"/>
      <c r="M128" s="440"/>
      <c r="N128" s="436"/>
      <c r="O128" s="433"/>
      <c r="P128" s="433"/>
      <c r="Q128" s="433"/>
      <c r="R128" s="433"/>
      <c r="S128" s="433"/>
      <c r="T128" s="433"/>
    </row>
    <row r="129" spans="1:20" ht="28.5" customHeight="1">
      <c r="A129" s="452"/>
      <c r="B129" s="315"/>
      <c r="C129" s="440"/>
      <c r="D129" s="440"/>
      <c r="E129" s="440"/>
      <c r="F129" s="440"/>
      <c r="G129" s="440"/>
      <c r="H129" s="440"/>
      <c r="I129" s="440"/>
      <c r="J129" s="440"/>
      <c r="K129" s="440"/>
      <c r="L129" s="440"/>
      <c r="M129" s="440"/>
      <c r="N129" s="436"/>
      <c r="O129" s="433"/>
      <c r="P129" s="433"/>
      <c r="Q129" s="433"/>
      <c r="R129" s="433"/>
      <c r="S129" s="433"/>
      <c r="T129" s="433"/>
    </row>
    <row r="130" spans="1:20" ht="12.75">
      <c r="A130" s="434"/>
      <c r="B130" s="315"/>
      <c r="C130" s="315"/>
      <c r="D130" s="315"/>
      <c r="E130" s="315"/>
      <c r="F130" s="315"/>
      <c r="G130" s="315"/>
      <c r="H130" s="315"/>
      <c r="I130" s="315"/>
      <c r="J130" s="315"/>
      <c r="K130" s="315"/>
      <c r="L130" s="315"/>
      <c r="M130" s="315"/>
      <c r="N130" s="436"/>
      <c r="O130" s="433"/>
      <c r="P130" s="433"/>
      <c r="Q130" s="433"/>
      <c r="R130" s="433"/>
      <c r="S130" s="433"/>
      <c r="T130" s="433"/>
    </row>
    <row r="131" spans="1:20" ht="12.75">
      <c r="A131" s="441"/>
      <c r="B131" s="315"/>
      <c r="C131" s="315"/>
      <c r="D131" s="315"/>
      <c r="E131" s="315"/>
      <c r="F131" s="315"/>
      <c r="G131" s="315"/>
      <c r="H131" s="315"/>
      <c r="I131" s="315"/>
      <c r="J131" s="315"/>
      <c r="K131" s="315"/>
      <c r="L131" s="315"/>
      <c r="M131" s="315"/>
      <c r="N131" s="453"/>
      <c r="O131" s="433"/>
      <c r="P131" s="433"/>
      <c r="Q131" s="433"/>
      <c r="R131" s="433"/>
      <c r="S131" s="433"/>
      <c r="T131" s="433"/>
    </row>
    <row r="132" spans="1:20" ht="12.75">
      <c r="A132" s="434"/>
      <c r="B132" s="315"/>
      <c r="C132" s="315"/>
      <c r="D132" s="315"/>
      <c r="E132" s="315"/>
      <c r="F132" s="315"/>
      <c r="G132" s="315"/>
      <c r="H132" s="315"/>
      <c r="I132" s="315"/>
      <c r="J132" s="315"/>
      <c r="K132" s="315"/>
      <c r="L132" s="315"/>
      <c r="M132" s="315"/>
      <c r="N132" s="436"/>
      <c r="O132" s="433"/>
      <c r="P132" s="433"/>
      <c r="Q132" s="433"/>
      <c r="R132" s="433"/>
      <c r="S132" s="433"/>
      <c r="T132" s="433"/>
    </row>
    <row r="133" spans="1:20" ht="12.75">
      <c r="A133" s="434"/>
      <c r="B133" s="440"/>
      <c r="C133" s="440"/>
      <c r="D133" s="440"/>
      <c r="E133" s="440"/>
      <c r="F133" s="440"/>
      <c r="G133" s="440"/>
      <c r="H133" s="440"/>
      <c r="I133" s="440"/>
      <c r="J133" s="440"/>
      <c r="K133" s="440"/>
      <c r="L133" s="440"/>
      <c r="M133" s="440"/>
      <c r="N133" s="438"/>
      <c r="O133" s="433"/>
      <c r="P133" s="433"/>
      <c r="Q133" s="433"/>
      <c r="R133" s="433"/>
      <c r="S133" s="433"/>
      <c r="T133" s="433"/>
    </row>
    <row r="134" spans="1:20" ht="12.75">
      <c r="A134" s="441"/>
      <c r="B134" s="315"/>
      <c r="C134" s="440"/>
      <c r="D134" s="440"/>
      <c r="E134" s="440"/>
      <c r="F134" s="440"/>
      <c r="G134" s="440"/>
      <c r="H134" s="440"/>
      <c r="I134" s="440"/>
      <c r="J134" s="440"/>
      <c r="K134" s="440"/>
      <c r="L134" s="440"/>
      <c r="M134" s="440"/>
      <c r="N134" s="436"/>
      <c r="O134" s="433"/>
      <c r="P134" s="433"/>
      <c r="Q134" s="433"/>
      <c r="R134" s="433"/>
      <c r="S134" s="433"/>
      <c r="T134" s="433"/>
    </row>
    <row r="135" spans="1:20" ht="12.75">
      <c r="A135" s="434"/>
      <c r="B135" s="455"/>
      <c r="C135" s="455"/>
      <c r="D135" s="455"/>
      <c r="E135" s="455"/>
      <c r="F135" s="455"/>
      <c r="G135" s="455"/>
      <c r="H135" s="455"/>
      <c r="I135" s="455"/>
      <c r="J135" s="455"/>
      <c r="K135" s="455"/>
      <c r="L135" s="455"/>
      <c r="M135" s="455"/>
      <c r="N135" s="436"/>
      <c r="O135" s="433"/>
      <c r="P135" s="433"/>
      <c r="Q135" s="433"/>
      <c r="R135" s="433"/>
      <c r="S135" s="433"/>
      <c r="T135" s="433"/>
    </row>
    <row r="136" spans="1:20" ht="12.75">
      <c r="A136" s="434"/>
      <c r="B136" s="315"/>
      <c r="C136" s="315"/>
      <c r="D136" s="315"/>
      <c r="E136" s="315"/>
      <c r="F136" s="315"/>
      <c r="G136" s="315"/>
      <c r="H136" s="315"/>
      <c r="I136" s="315"/>
      <c r="J136" s="315"/>
      <c r="K136" s="315"/>
      <c r="L136" s="315"/>
      <c r="M136" s="315"/>
      <c r="N136" s="436"/>
      <c r="O136" s="433"/>
      <c r="P136" s="433"/>
      <c r="Q136" s="433"/>
      <c r="R136" s="433"/>
      <c r="S136" s="433"/>
      <c r="T136" s="433"/>
    </row>
    <row r="137" spans="1:20" ht="12.75">
      <c r="A137" s="441"/>
      <c r="B137" s="457"/>
      <c r="C137" s="457"/>
      <c r="D137" s="457"/>
      <c r="E137" s="457"/>
      <c r="F137" s="457"/>
      <c r="G137" s="457"/>
      <c r="H137" s="457"/>
      <c r="I137" s="457"/>
      <c r="J137" s="457"/>
      <c r="K137" s="457"/>
      <c r="L137" s="457"/>
      <c r="M137" s="457"/>
      <c r="O137" s="433"/>
      <c r="P137" s="433"/>
      <c r="Q137" s="433"/>
      <c r="R137" s="433"/>
      <c r="S137" s="433"/>
      <c r="T137" s="433"/>
    </row>
    <row r="138" spans="1:20" ht="12.75">
      <c r="A138" s="434"/>
      <c r="B138" s="455"/>
      <c r="C138" s="455"/>
      <c r="D138" s="455"/>
      <c r="E138" s="455"/>
      <c r="F138" s="455"/>
      <c r="G138" s="455"/>
      <c r="H138" s="455"/>
      <c r="I138" s="455"/>
      <c r="J138" s="455"/>
      <c r="K138" s="455"/>
      <c r="L138" s="455"/>
      <c r="M138" s="455"/>
      <c r="N138" s="436"/>
      <c r="O138" s="433"/>
      <c r="P138" s="433"/>
      <c r="Q138" s="433"/>
      <c r="R138" s="433"/>
      <c r="S138" s="433"/>
      <c r="T138" s="433"/>
    </row>
    <row r="139" spans="1:20" ht="12.75">
      <c r="A139" s="434"/>
      <c r="B139" s="315"/>
      <c r="C139" s="315"/>
      <c r="D139" s="315"/>
      <c r="E139" s="315"/>
      <c r="F139" s="315"/>
      <c r="G139" s="315"/>
      <c r="H139" s="315"/>
      <c r="I139" s="315"/>
      <c r="J139" s="315"/>
      <c r="K139" s="315"/>
      <c r="L139" s="315"/>
      <c r="M139" s="315"/>
      <c r="N139" s="436"/>
      <c r="O139" s="433"/>
      <c r="P139" s="433"/>
      <c r="Q139" s="433"/>
      <c r="R139" s="433"/>
      <c r="S139" s="433"/>
      <c r="T139" s="433"/>
    </row>
    <row r="140" spans="1:20" ht="12.75">
      <c r="A140" s="434"/>
      <c r="B140" s="455"/>
      <c r="C140" s="455"/>
      <c r="D140" s="455"/>
      <c r="E140" s="455"/>
      <c r="F140" s="455"/>
      <c r="G140" s="455"/>
      <c r="H140" s="455"/>
      <c r="I140" s="455"/>
      <c r="J140" s="455"/>
      <c r="K140" s="455"/>
      <c r="L140" s="455"/>
      <c r="M140" s="455"/>
      <c r="N140" s="436"/>
      <c r="O140" s="433"/>
      <c r="P140" s="433"/>
      <c r="Q140" s="433"/>
      <c r="R140" s="433"/>
      <c r="S140" s="433"/>
      <c r="T140" s="433"/>
    </row>
    <row r="141" spans="1:20" ht="12.75">
      <c r="A141" s="434"/>
      <c r="B141" s="315"/>
      <c r="C141" s="315"/>
      <c r="D141" s="315"/>
      <c r="E141" s="315"/>
      <c r="F141" s="315"/>
      <c r="G141" s="315"/>
      <c r="H141" s="315"/>
      <c r="I141" s="315"/>
      <c r="J141" s="315"/>
      <c r="K141" s="315"/>
      <c r="L141" s="315"/>
      <c r="M141" s="315"/>
      <c r="N141" s="436"/>
      <c r="O141" s="433"/>
      <c r="P141" s="433"/>
      <c r="Q141" s="433"/>
      <c r="R141" s="433"/>
      <c r="S141" s="433"/>
      <c r="T141" s="433"/>
    </row>
    <row r="142" spans="1:20" ht="12.75">
      <c r="A142" s="434"/>
      <c r="B142" s="315"/>
      <c r="C142" s="315"/>
      <c r="D142" s="315"/>
      <c r="E142" s="315"/>
      <c r="F142" s="315"/>
      <c r="G142" s="315"/>
      <c r="H142" s="315"/>
      <c r="I142" s="315"/>
      <c r="J142" s="315"/>
      <c r="K142" s="315"/>
      <c r="L142" s="315"/>
      <c r="M142" s="315"/>
      <c r="N142" s="436"/>
      <c r="O142" s="433"/>
      <c r="P142" s="433"/>
      <c r="Q142" s="433"/>
      <c r="R142" s="433"/>
      <c r="S142" s="433"/>
      <c r="T142" s="433"/>
    </row>
    <row r="143" spans="1:20" ht="12.75">
      <c r="A143" s="441"/>
      <c r="B143" s="440"/>
      <c r="C143" s="440"/>
      <c r="D143" s="440"/>
      <c r="E143" s="440"/>
      <c r="F143" s="440"/>
      <c r="G143" s="440"/>
      <c r="H143" s="440"/>
      <c r="I143" s="440"/>
      <c r="J143" s="440"/>
      <c r="K143" s="440"/>
      <c r="L143" s="440"/>
      <c r="M143" s="440"/>
      <c r="N143" s="436"/>
      <c r="O143" s="433"/>
      <c r="P143" s="433"/>
      <c r="Q143" s="433"/>
      <c r="R143" s="433"/>
      <c r="S143" s="433"/>
      <c r="T143" s="433"/>
    </row>
    <row r="144" spans="1:20" ht="12.75">
      <c r="A144" s="456"/>
      <c r="B144" s="440"/>
      <c r="C144" s="440"/>
      <c r="D144" s="440"/>
      <c r="E144" s="440"/>
      <c r="F144" s="440"/>
      <c r="G144" s="440"/>
      <c r="H144" s="440"/>
      <c r="I144" s="440"/>
      <c r="J144" s="440"/>
      <c r="K144" s="440"/>
      <c r="L144" s="440"/>
      <c r="M144" s="440"/>
      <c r="N144" s="436"/>
      <c r="O144" s="433"/>
      <c r="P144" s="433"/>
      <c r="Q144" s="433"/>
      <c r="R144" s="433"/>
      <c r="S144" s="433"/>
      <c r="T144" s="433"/>
    </row>
    <row r="145" spans="1:20" ht="12.75">
      <c r="A145" s="434"/>
      <c r="B145" s="440"/>
      <c r="C145" s="440"/>
      <c r="D145" s="440"/>
      <c r="E145" s="440"/>
      <c r="F145" s="440"/>
      <c r="G145" s="440"/>
      <c r="H145" s="440"/>
      <c r="I145" s="440"/>
      <c r="J145" s="440"/>
      <c r="K145" s="440"/>
      <c r="L145" s="440"/>
      <c r="M145" s="440"/>
      <c r="N145" s="438"/>
      <c r="O145" s="433"/>
      <c r="P145" s="433"/>
      <c r="Q145" s="433"/>
      <c r="R145" s="433"/>
      <c r="S145" s="433"/>
      <c r="T145" s="433"/>
    </row>
    <row r="146" spans="1:20" ht="12.75">
      <c r="A146" s="434"/>
      <c r="B146" s="315"/>
      <c r="C146" s="315"/>
      <c r="D146" s="315"/>
      <c r="E146" s="315"/>
      <c r="F146" s="315"/>
      <c r="G146" s="315"/>
      <c r="H146" s="315"/>
      <c r="I146" s="315"/>
      <c r="J146" s="315"/>
      <c r="K146" s="315"/>
      <c r="L146" s="315"/>
      <c r="M146" s="315"/>
      <c r="N146" s="436"/>
      <c r="O146" s="433"/>
      <c r="P146" s="433"/>
      <c r="Q146" s="433"/>
      <c r="R146" s="433"/>
      <c r="S146" s="433"/>
      <c r="T146" s="433"/>
    </row>
    <row r="147" spans="1:20" ht="12.75">
      <c r="A147" s="434"/>
      <c r="B147" s="315"/>
      <c r="C147" s="315"/>
      <c r="D147" s="315"/>
      <c r="E147" s="315"/>
      <c r="F147" s="315"/>
      <c r="G147" s="315"/>
      <c r="H147" s="315"/>
      <c r="I147" s="315"/>
      <c r="J147" s="315"/>
      <c r="K147" s="315"/>
      <c r="L147" s="315"/>
      <c r="M147" s="315"/>
      <c r="N147" s="436"/>
      <c r="O147" s="433"/>
      <c r="P147" s="433"/>
      <c r="Q147" s="433"/>
      <c r="R147" s="433"/>
      <c r="S147" s="433"/>
      <c r="T147" s="433"/>
    </row>
    <row r="148" spans="1:20" ht="12.75">
      <c r="A148" s="434"/>
      <c r="B148" s="315"/>
      <c r="C148" s="315"/>
      <c r="D148" s="315"/>
      <c r="E148" s="315"/>
      <c r="F148" s="315"/>
      <c r="G148" s="315"/>
      <c r="H148" s="315"/>
      <c r="I148" s="315"/>
      <c r="J148" s="315"/>
      <c r="K148" s="315"/>
      <c r="L148" s="315"/>
      <c r="M148" s="315"/>
      <c r="N148" s="436"/>
      <c r="O148" s="433"/>
      <c r="P148" s="433"/>
      <c r="Q148" s="433"/>
      <c r="R148" s="433"/>
      <c r="S148" s="433"/>
      <c r="T148" s="433"/>
    </row>
    <row r="149" spans="1:20" ht="12.75">
      <c r="A149" s="434"/>
      <c r="B149" s="315"/>
      <c r="C149" s="315"/>
      <c r="D149" s="315"/>
      <c r="E149" s="315"/>
      <c r="F149" s="315"/>
      <c r="G149" s="315"/>
      <c r="H149" s="315"/>
      <c r="I149" s="315"/>
      <c r="J149" s="315"/>
      <c r="K149" s="315"/>
      <c r="L149" s="315"/>
      <c r="M149" s="315"/>
      <c r="N149" s="436"/>
      <c r="O149" s="433"/>
      <c r="P149" s="433"/>
      <c r="Q149" s="433"/>
      <c r="R149" s="433"/>
      <c r="S149" s="433"/>
      <c r="T149" s="433"/>
    </row>
    <row r="150" spans="1:20" ht="12.75">
      <c r="A150" s="434"/>
      <c r="B150" s="315"/>
      <c r="C150" s="440"/>
      <c r="D150" s="440"/>
      <c r="E150" s="440"/>
      <c r="F150" s="440"/>
      <c r="G150" s="440"/>
      <c r="H150" s="440"/>
      <c r="I150" s="440"/>
      <c r="J150" s="440"/>
      <c r="K150" s="440"/>
      <c r="L150" s="440"/>
      <c r="M150" s="440"/>
      <c r="N150" s="436"/>
      <c r="O150" s="433"/>
      <c r="P150" s="433"/>
      <c r="Q150" s="433"/>
      <c r="R150" s="433"/>
      <c r="S150" s="433"/>
      <c r="T150" s="433"/>
    </row>
    <row r="151" spans="1:20" ht="12.75">
      <c r="A151" s="458"/>
      <c r="B151" s="315"/>
      <c r="C151" s="440"/>
      <c r="D151" s="440"/>
      <c r="E151" s="440"/>
      <c r="F151" s="440"/>
      <c r="G151" s="440"/>
      <c r="H151" s="440"/>
      <c r="I151" s="440"/>
      <c r="J151" s="440"/>
      <c r="K151" s="440"/>
      <c r="L151" s="440"/>
      <c r="M151" s="440"/>
      <c r="N151" s="436"/>
      <c r="O151" s="433"/>
      <c r="P151" s="433"/>
      <c r="Q151" s="433"/>
      <c r="R151" s="433"/>
      <c r="S151" s="433"/>
      <c r="T151" s="433"/>
    </row>
    <row r="152" spans="1:20" ht="12.75">
      <c r="A152" s="434"/>
      <c r="B152" s="440"/>
      <c r="C152" s="440"/>
      <c r="D152" s="440"/>
      <c r="E152" s="440"/>
      <c r="F152" s="440"/>
      <c r="G152" s="440"/>
      <c r="H152" s="440"/>
      <c r="I152" s="440"/>
      <c r="J152" s="440"/>
      <c r="K152" s="440"/>
      <c r="L152" s="440"/>
      <c r="M152" s="440"/>
      <c r="N152" s="438"/>
      <c r="O152" s="433"/>
      <c r="P152" s="433"/>
      <c r="Q152" s="433"/>
      <c r="R152" s="433"/>
      <c r="S152" s="433"/>
      <c r="T152" s="433"/>
    </row>
    <row r="153" spans="1:20" ht="12.75">
      <c r="A153" s="458"/>
      <c r="B153" s="315"/>
      <c r="C153" s="315"/>
      <c r="D153" s="315"/>
      <c r="E153" s="315"/>
      <c r="F153" s="315"/>
      <c r="G153" s="315"/>
      <c r="H153" s="315"/>
      <c r="I153" s="315"/>
      <c r="J153" s="315"/>
      <c r="K153" s="315"/>
      <c r="L153" s="315"/>
      <c r="M153" s="315"/>
      <c r="N153" s="436"/>
      <c r="O153" s="433"/>
      <c r="P153" s="433"/>
      <c r="Q153" s="433"/>
      <c r="R153" s="433"/>
      <c r="S153" s="433"/>
      <c r="T153" s="433"/>
    </row>
    <row r="154" spans="1:20" ht="12.75">
      <c r="A154" s="459"/>
      <c r="B154" s="315"/>
      <c r="C154" s="315"/>
      <c r="D154" s="315"/>
      <c r="E154" s="315"/>
      <c r="F154" s="315"/>
      <c r="G154" s="315"/>
      <c r="H154" s="315"/>
      <c r="I154" s="315"/>
      <c r="J154" s="315"/>
      <c r="K154" s="315"/>
      <c r="L154" s="315"/>
      <c r="M154" s="315"/>
      <c r="N154" s="436"/>
      <c r="O154" s="433"/>
      <c r="P154" s="433"/>
      <c r="Q154" s="433"/>
      <c r="R154" s="433"/>
      <c r="S154" s="433"/>
      <c r="T154" s="433"/>
    </row>
    <row r="155" spans="1:20" ht="12.75">
      <c r="A155" s="434"/>
      <c r="B155" s="437"/>
      <c r="C155" s="437"/>
      <c r="D155" s="437"/>
      <c r="E155" s="437"/>
      <c r="F155" s="437"/>
      <c r="G155" s="437"/>
      <c r="H155" s="437"/>
      <c r="I155" s="437"/>
      <c r="J155" s="437"/>
      <c r="K155" s="437"/>
      <c r="L155" s="437"/>
      <c r="M155" s="437"/>
      <c r="N155" s="438"/>
      <c r="O155" s="433"/>
      <c r="P155" s="433"/>
      <c r="Q155" s="433"/>
      <c r="R155" s="433"/>
      <c r="S155" s="433"/>
      <c r="T155" s="433"/>
    </row>
    <row r="156" spans="1:20" ht="12.75">
      <c r="A156" s="434"/>
      <c r="B156" s="455"/>
      <c r="C156" s="455"/>
      <c r="D156" s="455"/>
      <c r="E156" s="455"/>
      <c r="F156" s="455"/>
      <c r="G156" s="455"/>
      <c r="H156" s="455"/>
      <c r="I156" s="455"/>
      <c r="J156" s="455"/>
      <c r="K156" s="455"/>
      <c r="L156" s="455"/>
      <c r="M156" s="455"/>
      <c r="N156" s="436"/>
      <c r="O156" s="433"/>
      <c r="P156" s="433"/>
      <c r="Q156" s="433"/>
      <c r="R156" s="433"/>
      <c r="S156" s="433"/>
      <c r="T156" s="433"/>
    </row>
    <row r="157" spans="1:20" ht="12.75">
      <c r="A157" s="434"/>
      <c r="B157" s="315"/>
      <c r="C157" s="315"/>
      <c r="D157" s="315"/>
      <c r="E157" s="315"/>
      <c r="F157" s="315"/>
      <c r="G157" s="315"/>
      <c r="H157" s="315"/>
      <c r="I157" s="315"/>
      <c r="J157" s="315"/>
      <c r="K157" s="315"/>
      <c r="L157" s="315"/>
      <c r="M157" s="315"/>
      <c r="N157" s="436"/>
      <c r="O157" s="433"/>
      <c r="P157" s="433"/>
      <c r="Q157" s="433"/>
      <c r="R157" s="433"/>
      <c r="S157" s="433"/>
      <c r="T157" s="433"/>
    </row>
    <row r="158" spans="1:20" ht="12.75">
      <c r="A158" s="434"/>
      <c r="B158" s="455"/>
      <c r="C158" s="455"/>
      <c r="D158" s="455"/>
      <c r="E158" s="455"/>
      <c r="F158" s="455"/>
      <c r="G158" s="455"/>
      <c r="H158" s="455"/>
      <c r="I158" s="455"/>
      <c r="J158" s="455"/>
      <c r="K158" s="455"/>
      <c r="L158" s="455"/>
      <c r="M158" s="455"/>
      <c r="N158" s="436"/>
      <c r="O158" s="433"/>
      <c r="P158" s="433"/>
      <c r="Q158" s="433"/>
      <c r="R158" s="433"/>
      <c r="S158" s="433"/>
      <c r="T158" s="433"/>
    </row>
    <row r="159" spans="1:20" ht="12.75">
      <c r="A159" s="434"/>
      <c r="B159" s="315"/>
      <c r="C159" s="315"/>
      <c r="D159" s="315"/>
      <c r="E159" s="315"/>
      <c r="F159" s="315"/>
      <c r="G159" s="315"/>
      <c r="H159" s="315"/>
      <c r="I159" s="315"/>
      <c r="J159" s="315"/>
      <c r="K159" s="315"/>
      <c r="L159" s="315"/>
      <c r="M159" s="315"/>
      <c r="N159" s="436"/>
      <c r="O159" s="433"/>
      <c r="P159" s="433"/>
      <c r="Q159" s="433"/>
      <c r="R159" s="433"/>
      <c r="S159" s="433"/>
      <c r="T159" s="433"/>
    </row>
    <row r="160" spans="1:20" ht="12.75">
      <c r="A160" s="434"/>
      <c r="B160" s="455"/>
      <c r="C160" s="455"/>
      <c r="D160" s="455"/>
      <c r="E160" s="455"/>
      <c r="F160" s="455"/>
      <c r="G160" s="455"/>
      <c r="H160" s="455"/>
      <c r="I160" s="455"/>
      <c r="J160" s="455"/>
      <c r="K160" s="455"/>
      <c r="L160" s="455"/>
      <c r="M160" s="455"/>
      <c r="N160" s="436"/>
      <c r="O160" s="433"/>
      <c r="P160" s="433"/>
      <c r="Q160" s="433"/>
      <c r="R160" s="433"/>
      <c r="S160" s="433"/>
      <c r="T160" s="433"/>
    </row>
    <row r="161" spans="1:20" ht="12.75">
      <c r="A161" s="434"/>
      <c r="B161" s="315"/>
      <c r="C161" s="315"/>
      <c r="D161" s="315"/>
      <c r="E161" s="315"/>
      <c r="F161" s="315"/>
      <c r="G161" s="315"/>
      <c r="H161" s="315"/>
      <c r="I161" s="315"/>
      <c r="J161" s="315"/>
      <c r="K161" s="315"/>
      <c r="L161" s="315"/>
      <c r="M161" s="315"/>
      <c r="N161" s="436"/>
      <c r="O161" s="433"/>
      <c r="P161" s="433"/>
      <c r="Q161" s="433"/>
      <c r="R161" s="433"/>
      <c r="S161" s="433"/>
      <c r="T161" s="433"/>
    </row>
    <row r="162" spans="1:20" ht="12.75">
      <c r="A162" s="458"/>
      <c r="B162" s="315"/>
      <c r="C162" s="315"/>
      <c r="D162" s="315"/>
      <c r="E162" s="315"/>
      <c r="F162" s="315"/>
      <c r="G162" s="315"/>
      <c r="H162" s="315"/>
      <c r="I162" s="315"/>
      <c r="J162" s="315"/>
      <c r="K162" s="315"/>
      <c r="L162" s="315"/>
      <c r="M162" s="315"/>
      <c r="N162" s="436"/>
      <c r="O162" s="433"/>
      <c r="P162" s="433"/>
      <c r="Q162" s="433"/>
      <c r="R162" s="433"/>
      <c r="S162" s="433"/>
      <c r="T162" s="433"/>
    </row>
    <row r="163" spans="1:20" ht="12.75">
      <c r="A163" s="458"/>
      <c r="B163" s="315"/>
      <c r="C163" s="315"/>
      <c r="D163" s="315"/>
      <c r="E163" s="315"/>
      <c r="F163" s="315"/>
      <c r="G163" s="315"/>
      <c r="H163" s="315"/>
      <c r="I163" s="315"/>
      <c r="J163" s="315"/>
      <c r="K163" s="315"/>
      <c r="L163" s="315"/>
      <c r="M163" s="315"/>
      <c r="N163" s="436"/>
      <c r="O163" s="433"/>
      <c r="P163" s="433"/>
      <c r="Q163" s="433"/>
      <c r="R163" s="433"/>
      <c r="S163" s="433"/>
      <c r="T163" s="433"/>
    </row>
    <row r="164" spans="1:20" ht="12.75">
      <c r="A164" s="458"/>
      <c r="B164" s="437"/>
      <c r="C164" s="437"/>
      <c r="D164" s="437"/>
      <c r="E164" s="437"/>
      <c r="F164" s="437"/>
      <c r="G164" s="437"/>
      <c r="H164" s="437"/>
      <c r="I164" s="437"/>
      <c r="J164" s="437"/>
      <c r="K164" s="437"/>
      <c r="L164" s="437"/>
      <c r="M164" s="437"/>
      <c r="N164" s="438"/>
      <c r="O164" s="433"/>
      <c r="P164" s="433"/>
      <c r="Q164" s="433"/>
      <c r="R164" s="433"/>
      <c r="S164" s="433"/>
      <c r="T164" s="433"/>
    </row>
    <row r="165" spans="1:20" ht="12.75">
      <c r="A165" s="458"/>
      <c r="B165" s="315"/>
      <c r="C165" s="315"/>
      <c r="D165" s="315"/>
      <c r="E165" s="315"/>
      <c r="F165" s="315"/>
      <c r="G165" s="315"/>
      <c r="H165" s="315"/>
      <c r="I165" s="315"/>
      <c r="J165" s="315"/>
      <c r="K165" s="315"/>
      <c r="L165" s="315"/>
      <c r="M165" s="315"/>
      <c r="N165" s="436"/>
      <c r="O165" s="433"/>
      <c r="P165" s="433"/>
      <c r="Q165" s="433"/>
      <c r="R165" s="433"/>
      <c r="S165" s="433"/>
      <c r="T165" s="433"/>
    </row>
    <row r="166" spans="1:20" ht="12.75">
      <c r="A166" s="458"/>
      <c r="B166" s="315"/>
      <c r="C166" s="315"/>
      <c r="D166" s="315"/>
      <c r="E166" s="315"/>
      <c r="F166" s="315"/>
      <c r="G166" s="315"/>
      <c r="H166" s="315"/>
      <c r="I166" s="315"/>
      <c r="J166" s="315"/>
      <c r="K166" s="315"/>
      <c r="L166" s="315"/>
      <c r="M166" s="315"/>
      <c r="N166" s="436"/>
      <c r="O166" s="433"/>
      <c r="P166" s="433"/>
      <c r="Q166" s="433"/>
      <c r="R166" s="433"/>
      <c r="S166" s="433"/>
      <c r="T166" s="433"/>
    </row>
    <row r="167" spans="1:20" ht="12.75">
      <c r="A167" s="458"/>
      <c r="B167" s="315"/>
      <c r="C167" s="315"/>
      <c r="D167" s="315"/>
      <c r="E167" s="315"/>
      <c r="F167" s="315"/>
      <c r="G167" s="315"/>
      <c r="H167" s="315"/>
      <c r="I167" s="315"/>
      <c r="J167" s="315"/>
      <c r="K167" s="315"/>
      <c r="L167" s="315"/>
      <c r="M167" s="315"/>
      <c r="N167" s="436"/>
      <c r="O167" s="433"/>
      <c r="P167" s="433"/>
      <c r="Q167" s="433"/>
      <c r="R167" s="433"/>
      <c r="S167" s="433"/>
      <c r="T167" s="433"/>
    </row>
    <row r="168" spans="1:20" ht="12.75">
      <c r="A168" s="461"/>
      <c r="B168" s="460"/>
      <c r="C168" s="460"/>
      <c r="D168" s="460"/>
      <c r="E168" s="460"/>
      <c r="F168" s="460"/>
      <c r="G168" s="460"/>
      <c r="H168" s="460"/>
      <c r="I168" s="460"/>
      <c r="J168" s="460"/>
      <c r="K168" s="460"/>
      <c r="L168" s="460"/>
      <c r="M168" s="460"/>
      <c r="N168" s="436"/>
      <c r="O168" s="433"/>
      <c r="P168" s="433"/>
      <c r="Q168" s="433"/>
      <c r="R168" s="433"/>
      <c r="S168" s="433"/>
      <c r="T168" s="433"/>
    </row>
    <row r="169" spans="1:20" ht="12.75">
      <c r="A169" s="458"/>
      <c r="B169" s="315"/>
      <c r="C169" s="315"/>
      <c r="D169" s="315"/>
      <c r="E169" s="315"/>
      <c r="F169" s="315"/>
      <c r="G169" s="315"/>
      <c r="H169" s="315"/>
      <c r="I169" s="315"/>
      <c r="J169" s="315"/>
      <c r="K169" s="315"/>
      <c r="L169" s="315"/>
      <c r="M169" s="315"/>
      <c r="N169" s="436"/>
      <c r="O169" s="433"/>
      <c r="P169" s="433"/>
      <c r="Q169" s="433"/>
      <c r="R169" s="433"/>
      <c r="S169" s="433"/>
      <c r="T169" s="433"/>
    </row>
    <row r="170" spans="1:20" ht="12.75">
      <c r="A170" s="461"/>
      <c r="B170" s="315"/>
      <c r="C170" s="315"/>
      <c r="D170" s="315"/>
      <c r="E170" s="315"/>
      <c r="F170" s="315"/>
      <c r="G170" s="315"/>
      <c r="H170" s="315"/>
      <c r="I170" s="315"/>
      <c r="J170" s="315"/>
      <c r="K170" s="315"/>
      <c r="L170" s="315"/>
      <c r="M170" s="315"/>
      <c r="N170" s="436"/>
      <c r="O170" s="433"/>
      <c r="P170" s="433"/>
      <c r="Q170" s="433"/>
      <c r="R170" s="433"/>
      <c r="S170" s="433"/>
      <c r="T170" s="433"/>
    </row>
    <row r="171" spans="1:20" ht="12.75">
      <c r="A171" s="461"/>
      <c r="B171" s="315"/>
      <c r="C171" s="315"/>
      <c r="D171" s="315"/>
      <c r="E171" s="315"/>
      <c r="F171" s="315"/>
      <c r="G171" s="315"/>
      <c r="H171" s="315"/>
      <c r="I171" s="315"/>
      <c r="J171" s="315"/>
      <c r="K171" s="315"/>
      <c r="L171" s="315"/>
      <c r="M171" s="315"/>
      <c r="N171" s="436"/>
      <c r="O171" s="433"/>
      <c r="P171" s="433"/>
      <c r="Q171" s="433"/>
      <c r="R171" s="433"/>
      <c r="S171" s="433"/>
      <c r="T171" s="433"/>
    </row>
    <row r="172" spans="1:20" ht="12.75">
      <c r="A172" s="461"/>
      <c r="B172" s="315"/>
      <c r="C172" s="315"/>
      <c r="D172" s="315"/>
      <c r="E172" s="315"/>
      <c r="F172" s="315"/>
      <c r="G172" s="315"/>
      <c r="H172" s="315"/>
      <c r="I172" s="315"/>
      <c r="J172" s="315"/>
      <c r="K172" s="315"/>
      <c r="L172" s="315"/>
      <c r="M172" s="315"/>
      <c r="N172" s="436"/>
      <c r="O172" s="433"/>
      <c r="P172" s="433"/>
      <c r="Q172" s="433"/>
      <c r="R172" s="433"/>
      <c r="S172" s="433"/>
      <c r="T172" s="433"/>
    </row>
    <row r="173" spans="1:20" ht="12.75">
      <c r="A173" s="461"/>
      <c r="B173" s="315"/>
      <c r="C173" s="315"/>
      <c r="D173" s="315"/>
      <c r="E173" s="315"/>
      <c r="F173" s="315"/>
      <c r="G173" s="315"/>
      <c r="H173" s="315"/>
      <c r="I173" s="315"/>
      <c r="J173" s="315"/>
      <c r="K173" s="315"/>
      <c r="L173" s="315"/>
      <c r="M173" s="315"/>
      <c r="N173" s="436"/>
      <c r="O173" s="433"/>
      <c r="P173" s="433"/>
      <c r="Q173" s="433"/>
      <c r="R173" s="433"/>
      <c r="S173" s="433"/>
      <c r="T173" s="433"/>
    </row>
    <row r="174" spans="1:20" ht="12.75">
      <c r="A174" s="441"/>
      <c r="B174" s="315"/>
      <c r="C174" s="315"/>
      <c r="D174" s="315"/>
      <c r="E174" s="315"/>
      <c r="F174" s="315"/>
      <c r="G174" s="315"/>
      <c r="H174" s="315"/>
      <c r="I174" s="315"/>
      <c r="J174" s="315"/>
      <c r="K174" s="315"/>
      <c r="L174" s="315"/>
      <c r="M174" s="315"/>
      <c r="N174" s="436"/>
      <c r="O174" s="433"/>
      <c r="P174" s="433"/>
      <c r="Q174" s="433"/>
      <c r="R174" s="433"/>
      <c r="S174" s="433"/>
      <c r="T174" s="433"/>
    </row>
    <row r="175" spans="1:20" ht="12.75">
      <c r="A175" s="434"/>
      <c r="B175" s="462"/>
      <c r="C175" s="462"/>
      <c r="D175" s="462"/>
      <c r="E175" s="462"/>
      <c r="F175" s="462"/>
      <c r="G175" s="462"/>
      <c r="H175" s="462"/>
      <c r="I175" s="462"/>
      <c r="J175" s="462"/>
      <c r="K175" s="462"/>
      <c r="L175" s="462"/>
      <c r="M175" s="462"/>
      <c r="N175" s="436"/>
      <c r="O175" s="433"/>
      <c r="P175" s="433"/>
      <c r="Q175" s="433"/>
      <c r="R175" s="433"/>
      <c r="S175" s="433"/>
      <c r="T175" s="433"/>
    </row>
    <row r="176" spans="1:20" ht="12.75">
      <c r="A176" s="461"/>
      <c r="B176" s="315"/>
      <c r="C176" s="315"/>
      <c r="D176" s="315"/>
      <c r="E176" s="315"/>
      <c r="F176" s="315"/>
      <c r="G176" s="315"/>
      <c r="H176" s="315"/>
      <c r="I176" s="315"/>
      <c r="J176" s="315"/>
      <c r="K176" s="315"/>
      <c r="L176" s="315"/>
      <c r="M176" s="315"/>
      <c r="N176" s="436"/>
      <c r="O176" s="433"/>
      <c r="P176" s="433"/>
      <c r="Q176" s="433"/>
      <c r="R176" s="433"/>
      <c r="S176" s="433"/>
      <c r="T176" s="433"/>
    </row>
    <row r="177" spans="1:20" ht="12.75">
      <c r="A177" s="461"/>
      <c r="B177" s="315"/>
      <c r="C177" s="315"/>
      <c r="D177" s="315"/>
      <c r="E177" s="315"/>
      <c r="F177" s="315"/>
      <c r="G177" s="315"/>
      <c r="H177" s="315"/>
      <c r="I177" s="315"/>
      <c r="J177" s="315"/>
      <c r="K177" s="315"/>
      <c r="L177" s="315"/>
      <c r="M177" s="315"/>
      <c r="N177" s="436"/>
      <c r="O177" s="433"/>
      <c r="P177" s="433"/>
      <c r="Q177" s="433"/>
      <c r="R177" s="433"/>
      <c r="S177" s="433"/>
      <c r="T177" s="433"/>
    </row>
    <row r="178" spans="1:20" ht="12.75">
      <c r="A178" s="461"/>
      <c r="B178" s="315"/>
      <c r="C178" s="315"/>
      <c r="D178" s="315"/>
      <c r="E178" s="315"/>
      <c r="F178" s="315"/>
      <c r="G178" s="315"/>
      <c r="H178" s="315"/>
      <c r="I178" s="315"/>
      <c r="J178" s="315"/>
      <c r="K178" s="315"/>
      <c r="L178" s="315"/>
      <c r="M178" s="315"/>
      <c r="N178" s="463"/>
      <c r="O178" s="433"/>
      <c r="P178" s="433"/>
      <c r="Q178" s="433"/>
      <c r="R178" s="433"/>
      <c r="S178" s="433"/>
      <c r="T178" s="433"/>
    </row>
    <row r="180" ht="12.75">
      <c r="A180" s="317"/>
    </row>
    <row r="181" spans="1:14" ht="12.75">
      <c r="A181" s="333"/>
      <c r="B181" s="315"/>
      <c r="C181" s="315"/>
      <c r="D181" s="315"/>
      <c r="E181" s="315"/>
      <c r="F181" s="315"/>
      <c r="G181" s="315"/>
      <c r="H181" s="315"/>
      <c r="I181" s="315"/>
      <c r="J181" s="315"/>
      <c r="K181" s="315"/>
      <c r="L181" s="315"/>
      <c r="M181" s="315"/>
      <c r="N181" s="316"/>
    </row>
    <row r="182" spans="1:14" ht="12.75">
      <c r="A182" s="333"/>
      <c r="B182" s="315"/>
      <c r="C182" s="315"/>
      <c r="D182" s="315"/>
      <c r="E182" s="315"/>
      <c r="F182" s="315"/>
      <c r="G182" s="315"/>
      <c r="H182" s="315"/>
      <c r="I182" s="315"/>
      <c r="J182" s="315"/>
      <c r="K182" s="315"/>
      <c r="L182" s="315"/>
      <c r="M182" s="315"/>
      <c r="N182" s="316"/>
    </row>
    <row r="183" spans="1:14" ht="12.75">
      <c r="A183" s="333"/>
      <c r="B183" s="315"/>
      <c r="C183" s="315"/>
      <c r="D183" s="315"/>
      <c r="E183" s="315"/>
      <c r="F183" s="315"/>
      <c r="G183" s="315"/>
      <c r="H183" s="315"/>
      <c r="I183" s="315"/>
      <c r="J183" s="315"/>
      <c r="K183" s="315"/>
      <c r="L183" s="315"/>
      <c r="M183" s="315"/>
      <c r="N183" s="316"/>
    </row>
    <row r="184" spans="1:14" ht="12.75">
      <c r="A184" s="311"/>
      <c r="B184" s="448"/>
      <c r="C184" s="448"/>
      <c r="D184" s="448"/>
      <c r="E184" s="448"/>
      <c r="F184" s="448"/>
      <c r="G184" s="448"/>
      <c r="H184" s="448"/>
      <c r="I184" s="448"/>
      <c r="J184" s="448"/>
      <c r="K184" s="448"/>
      <c r="L184" s="448"/>
      <c r="M184" s="448"/>
      <c r="N184" s="464"/>
    </row>
    <row r="185" spans="1:14" ht="12.75">
      <c r="A185" s="333"/>
      <c r="B185" s="315"/>
      <c r="C185" s="315"/>
      <c r="D185" s="315"/>
      <c r="E185" s="315"/>
      <c r="F185" s="315"/>
      <c r="G185" s="315"/>
      <c r="H185" s="315"/>
      <c r="I185" s="315"/>
      <c r="J185" s="315"/>
      <c r="K185" s="315"/>
      <c r="L185" s="315"/>
      <c r="M185" s="315"/>
      <c r="N185" s="316"/>
    </row>
    <row r="186" spans="1:14" ht="12.75">
      <c r="A186" s="333"/>
      <c r="B186" s="315"/>
      <c r="C186" s="315"/>
      <c r="D186" s="315"/>
      <c r="E186" s="315"/>
      <c r="F186" s="315"/>
      <c r="G186" s="315"/>
      <c r="H186" s="315"/>
      <c r="I186" s="315"/>
      <c r="J186" s="315"/>
      <c r="K186" s="315"/>
      <c r="L186" s="315"/>
      <c r="M186" s="315"/>
      <c r="N186" s="316"/>
    </row>
    <row r="187" spans="1:14" ht="12.75">
      <c r="A187" s="333"/>
      <c r="B187" s="315"/>
      <c r="C187" s="315"/>
      <c r="D187" s="315"/>
      <c r="E187" s="315"/>
      <c r="F187" s="315"/>
      <c r="G187" s="315"/>
      <c r="H187" s="315"/>
      <c r="I187" s="315"/>
      <c r="J187" s="315"/>
      <c r="K187" s="315"/>
      <c r="L187" s="315"/>
      <c r="M187" s="315"/>
      <c r="N187" s="316"/>
    </row>
    <row r="188" spans="1:14" ht="12.75">
      <c r="A188" s="333"/>
      <c r="B188" s="315"/>
      <c r="C188" s="315"/>
      <c r="D188" s="315"/>
      <c r="E188" s="315"/>
      <c r="F188" s="315"/>
      <c r="G188" s="315"/>
      <c r="H188" s="315"/>
      <c r="I188" s="315"/>
      <c r="J188" s="315"/>
      <c r="K188" s="315"/>
      <c r="L188" s="315"/>
      <c r="M188" s="315"/>
      <c r="N188" s="316"/>
    </row>
    <row r="189" spans="1:14" ht="12.75">
      <c r="A189" s="333"/>
      <c r="B189" s="315"/>
      <c r="C189" s="315"/>
      <c r="D189" s="315"/>
      <c r="E189" s="315"/>
      <c r="F189" s="315"/>
      <c r="G189" s="315"/>
      <c r="H189" s="315"/>
      <c r="I189" s="315"/>
      <c r="J189" s="315"/>
      <c r="K189" s="315"/>
      <c r="L189" s="315"/>
      <c r="M189" s="315"/>
      <c r="N189" s="316"/>
    </row>
    <row r="190" spans="1:14" ht="12.75">
      <c r="A190" s="333"/>
      <c r="B190" s="465"/>
      <c r="C190" s="465"/>
      <c r="D190" s="465"/>
      <c r="E190" s="465"/>
      <c r="F190" s="465"/>
      <c r="G190" s="465"/>
      <c r="H190" s="465"/>
      <c r="I190" s="465"/>
      <c r="J190" s="465"/>
      <c r="K190" s="465"/>
      <c r="L190" s="465"/>
      <c r="M190" s="465"/>
      <c r="N190" s="466"/>
    </row>
    <row r="191" spans="1:14" ht="12.75">
      <c r="A191" s="311"/>
      <c r="B191" s="464"/>
      <c r="C191" s="464"/>
      <c r="D191" s="464"/>
      <c r="E191" s="464"/>
      <c r="F191" s="464"/>
      <c r="G191" s="464"/>
      <c r="H191" s="464"/>
      <c r="I191" s="464"/>
      <c r="J191" s="464"/>
      <c r="K191" s="464"/>
      <c r="L191" s="464"/>
      <c r="M191" s="464"/>
      <c r="N191" s="464"/>
    </row>
  </sheetData>
  <sheetProtection/>
  <printOptions/>
  <pageMargins left="0.22" right="0.22" top="1" bottom="1" header="0.5" footer="0.5"/>
  <pageSetup fitToHeight="4" horizontalDpi="600" verticalDpi="600" orientation="landscape" scale="58" r:id="rId1"/>
  <rowBreaks count="1" manualBreakCount="1">
    <brk id="38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R142"/>
  <sheetViews>
    <sheetView view="pageBreakPreview" zoomScale="60" zoomScalePageLayoutView="0" workbookViewId="0" topLeftCell="A73">
      <selection activeCell="A73" sqref="A1:IV16384"/>
    </sheetView>
  </sheetViews>
  <sheetFormatPr defaultColWidth="9.140625" defaultRowHeight="12.75"/>
  <cols>
    <col min="1" max="1" width="23.57421875" style="313" bestFit="1" customWidth="1"/>
    <col min="2" max="2" width="16.57421875" style="313" bestFit="1" customWidth="1"/>
    <col min="3" max="3" width="15.57421875" style="313" bestFit="1" customWidth="1"/>
    <col min="4" max="4" width="14.00390625" style="313" bestFit="1" customWidth="1"/>
    <col min="5" max="5" width="15.00390625" style="313" bestFit="1" customWidth="1"/>
    <col min="6" max="6" width="14.140625" style="313" bestFit="1" customWidth="1"/>
    <col min="7" max="8" width="13.140625" style="313" bestFit="1" customWidth="1"/>
    <col min="9" max="9" width="13.7109375" style="313" bestFit="1" customWidth="1"/>
    <col min="10" max="10" width="13.7109375" style="313" customWidth="1"/>
    <col min="11" max="11" width="13.140625" style="313" bestFit="1" customWidth="1"/>
    <col min="12" max="12" width="14.140625" style="313" bestFit="1" customWidth="1"/>
    <col min="13" max="13" width="14.00390625" style="313" bestFit="1" customWidth="1"/>
    <col min="14" max="14" width="15.00390625" style="313" bestFit="1" customWidth="1"/>
    <col min="15" max="15" width="10.7109375" style="313" bestFit="1" customWidth="1"/>
    <col min="16" max="16" width="15.00390625" style="313" bestFit="1" customWidth="1"/>
    <col min="17" max="17" width="17.7109375" style="313" bestFit="1" customWidth="1"/>
    <col min="18" max="18" width="11.7109375" style="313" bestFit="1" customWidth="1"/>
    <col min="19" max="16384" width="9.140625" style="313" customWidth="1"/>
  </cols>
  <sheetData>
    <row r="1" spans="1:14" ht="12.75">
      <c r="A1" s="408" t="s">
        <v>8</v>
      </c>
      <c r="B1" s="409">
        <v>40544</v>
      </c>
      <c r="C1" s="409">
        <v>40575</v>
      </c>
      <c r="D1" s="409">
        <v>40603</v>
      </c>
      <c r="E1" s="409">
        <v>40634</v>
      </c>
      <c r="F1" s="409">
        <v>40664</v>
      </c>
      <c r="G1" s="409">
        <v>40695</v>
      </c>
      <c r="H1" s="409">
        <v>40725</v>
      </c>
      <c r="I1" s="409">
        <v>40756</v>
      </c>
      <c r="J1" s="409">
        <v>40787</v>
      </c>
      <c r="K1" s="409">
        <v>40817</v>
      </c>
      <c r="L1" s="409">
        <v>40848</v>
      </c>
      <c r="M1" s="409">
        <v>40878</v>
      </c>
      <c r="N1" s="408" t="s">
        <v>47</v>
      </c>
    </row>
    <row r="2" spans="1:14" ht="12.75">
      <c r="A2" s="333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3" spans="1:14" ht="12.75">
      <c r="A3" s="311" t="s">
        <v>59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</row>
    <row r="4" spans="1:14" ht="12.75">
      <c r="A4" s="311" t="s">
        <v>41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</row>
    <row r="5" spans="1:14" ht="12.75">
      <c r="A5" s="333" t="s">
        <v>103</v>
      </c>
      <c r="B5" s="410">
        <f>+'Data Inputs - 2011'!C22</f>
        <v>491597341.0000003</v>
      </c>
      <c r="C5" s="410">
        <f>+'Data Inputs - 2011'!D22</f>
        <v>447237069.00000006</v>
      </c>
      <c r="D5" s="410">
        <f>+'Data Inputs - 2011'!E22</f>
        <v>434583594.0663284</v>
      </c>
      <c r="E5" s="410">
        <f>+'Data Inputs - 2011'!F22</f>
        <v>342830712.6770455</v>
      </c>
      <c r="F5" s="410">
        <f>+'Data Inputs - 2011'!G22</f>
        <v>317944762.7246134</v>
      </c>
      <c r="G5" s="410">
        <f>+'Data Inputs - 2011'!H22</f>
        <v>262374957.66969824</v>
      </c>
      <c r="H5" s="410">
        <f>+'Data Inputs - 2011'!I22</f>
        <v>255826504.48412168</v>
      </c>
      <c r="I5" s="410">
        <f>+'Data Inputs - 2011'!J22</f>
        <v>256068467.12117815</v>
      </c>
      <c r="J5" s="410">
        <f>+'Data Inputs - 2011'!K22</f>
        <v>257225936.05937248</v>
      </c>
      <c r="K5" s="410">
        <f>+'Data Inputs - 2011'!L22</f>
        <v>285773310.01161015</v>
      </c>
      <c r="L5" s="410">
        <f>+'Data Inputs - 2011'!M22</f>
        <v>331367160.51724106</v>
      </c>
      <c r="M5" s="410">
        <f>+'Data Inputs - 2011'!N22</f>
        <v>399861875.6558747</v>
      </c>
      <c r="N5" s="411">
        <f aca="true" t="shared" si="0" ref="N5:N16">SUM(B5:M5)</f>
        <v>4082691690.987084</v>
      </c>
    </row>
    <row r="6" spans="1:14" ht="12.75">
      <c r="A6" s="333" t="s">
        <v>104</v>
      </c>
      <c r="B6" s="412">
        <f>+'Data Inputs - 2011'!C23</f>
        <v>24531972.844606645</v>
      </c>
      <c r="C6" s="412">
        <f>+'Data Inputs - 2011'!D23</f>
        <v>23582348.746298164</v>
      </c>
      <c r="D6" s="412">
        <f>+'Data Inputs - 2011'!E23</f>
        <v>23542204.07721302</v>
      </c>
      <c r="E6" s="412">
        <f>+'Data Inputs - 2011'!F23</f>
        <v>19053331.20291841</v>
      </c>
      <c r="F6" s="412">
        <f>+'Data Inputs - 2011'!G23</f>
        <v>13564359.01430652</v>
      </c>
      <c r="G6" s="412">
        <f>+'Data Inputs - 2011'!H23</f>
        <v>9141075.003010314</v>
      </c>
      <c r="H6" s="412">
        <f>+'Data Inputs - 2011'!I23</f>
        <v>7263772.667569518</v>
      </c>
      <c r="I6" s="412">
        <f>+'Data Inputs - 2011'!J23</f>
        <v>7441492.09589796</v>
      </c>
      <c r="J6" s="412">
        <f>+'Data Inputs - 2011'!K23</f>
        <v>8327371.07233436</v>
      </c>
      <c r="K6" s="412">
        <f>+'Data Inputs - 2011'!L23</f>
        <v>11226696.750063414</v>
      </c>
      <c r="L6" s="412">
        <f>+'Data Inputs - 2011'!M23</f>
        <v>17547987.91775844</v>
      </c>
      <c r="M6" s="412">
        <f>+'Data Inputs - 2011'!N23</f>
        <v>26719327.608521003</v>
      </c>
      <c r="N6" s="413">
        <f t="shared" si="0"/>
        <v>191941939.00049776</v>
      </c>
    </row>
    <row r="7" spans="1:14" ht="12.75">
      <c r="A7" s="333" t="s">
        <v>105</v>
      </c>
      <c r="B7" s="410">
        <f>+'Data Inputs - 2011'!C24</f>
        <v>516129313.84460694</v>
      </c>
      <c r="C7" s="410">
        <f>+'Data Inputs - 2011'!D24</f>
        <v>470819417.7462982</v>
      </c>
      <c r="D7" s="410">
        <f>+'Data Inputs - 2011'!E24</f>
        <v>458125798.14354146</v>
      </c>
      <c r="E7" s="410">
        <f>+'Data Inputs - 2011'!F24</f>
        <v>361884043.87996393</v>
      </c>
      <c r="F7" s="410">
        <f>+'Data Inputs - 2011'!G24</f>
        <v>331509121.73892</v>
      </c>
      <c r="G7" s="410">
        <f>+'Data Inputs - 2011'!H24</f>
        <v>271516032.6727086</v>
      </c>
      <c r="H7" s="410">
        <f>+'Data Inputs - 2011'!I24</f>
        <v>263090277.1516912</v>
      </c>
      <c r="I7" s="410">
        <f>+'Data Inputs - 2011'!J24</f>
        <v>263509959.21707612</v>
      </c>
      <c r="J7" s="410">
        <f>+'Data Inputs - 2011'!K24</f>
        <v>265553307.13170683</v>
      </c>
      <c r="K7" s="410">
        <f>+'Data Inputs - 2011'!L24</f>
        <v>297000006.76167357</v>
      </c>
      <c r="L7" s="410">
        <f>+'Data Inputs - 2011'!M24</f>
        <v>348915148.4349995</v>
      </c>
      <c r="M7" s="410">
        <f>+'Data Inputs - 2011'!N24</f>
        <v>426581203.2643957</v>
      </c>
      <c r="N7" s="411">
        <f t="shared" si="0"/>
        <v>4274633629.987582</v>
      </c>
    </row>
    <row r="8" spans="1:14" ht="12.75">
      <c r="A8" s="333" t="s">
        <v>49</v>
      </c>
      <c r="B8" s="410">
        <f>+'Data Inputs - 2011'!C25</f>
        <v>25054239.090126842</v>
      </c>
      <c r="C8" s="410">
        <f>+'Data Inputs - 2011'!D25</f>
        <v>23947308.926431797</v>
      </c>
      <c r="D8" s="410">
        <f>+'Data Inputs - 2011'!E25</f>
        <v>24778327.71529182</v>
      </c>
      <c r="E8" s="410">
        <f>+'Data Inputs - 2011'!F25</f>
        <v>19673628.478945963</v>
      </c>
      <c r="F8" s="410">
        <f>+'Data Inputs - 2011'!G25</f>
        <v>19705463.919923946</v>
      </c>
      <c r="G8" s="410">
        <f>+'Data Inputs - 2011'!H25</f>
        <v>16973750.19414236</v>
      </c>
      <c r="H8" s="410">
        <f>+'Data Inputs - 2011'!I25</f>
        <v>17470246.348917868</v>
      </c>
      <c r="I8" s="410">
        <f>+'Data Inputs - 2011'!J25</f>
        <v>17355842.138498247</v>
      </c>
      <c r="J8" s="410">
        <f>+'Data Inputs - 2011'!K25</f>
        <v>17678286.16211143</v>
      </c>
      <c r="K8" s="410">
        <f>+'Data Inputs - 2011'!L25</f>
        <v>18075941.83632879</v>
      </c>
      <c r="L8" s="410">
        <f>+'Data Inputs - 2011'!M25</f>
        <v>17672529.14063269</v>
      </c>
      <c r="M8" s="410">
        <f>+'Data Inputs - 2011'!N25</f>
        <v>20392635.20904558</v>
      </c>
      <c r="N8" s="411">
        <f t="shared" si="0"/>
        <v>238778199.16039735</v>
      </c>
    </row>
    <row r="9" spans="1:14" ht="12.75">
      <c r="A9" s="333" t="s">
        <v>50</v>
      </c>
      <c r="B9" s="410">
        <f>+'Data Inputs - 2011'!C26</f>
        <v>239579439.10776353</v>
      </c>
      <c r="C9" s="410">
        <f>+'Data Inputs - 2011'!D26</f>
        <v>227368670.79070008</v>
      </c>
      <c r="D9" s="410">
        <f>+'Data Inputs - 2011'!E26</f>
        <v>228184562.05384693</v>
      </c>
      <c r="E9" s="410">
        <f>+'Data Inputs - 2011'!F26</f>
        <v>193918198.35243177</v>
      </c>
      <c r="F9" s="410">
        <f>+'Data Inputs - 2011'!G26</f>
        <v>190109868.0163232</v>
      </c>
      <c r="G9" s="410">
        <f>+'Data Inputs - 2011'!H26</f>
        <v>189265281.33373857</v>
      </c>
      <c r="H9" s="410">
        <f>+'Data Inputs - 2011'!I26</f>
        <v>195835281.50903186</v>
      </c>
      <c r="I9" s="410">
        <f>+'Data Inputs - 2011'!J26</f>
        <v>190588359.90718496</v>
      </c>
      <c r="J9" s="410">
        <f>+'Data Inputs - 2011'!K26</f>
        <v>182428741.7169053</v>
      </c>
      <c r="K9" s="410">
        <f>+'Data Inputs - 2011'!L26</f>
        <v>197173592.92362168</v>
      </c>
      <c r="L9" s="410">
        <f>+'Data Inputs - 2011'!M26</f>
        <v>195722404.77944338</v>
      </c>
      <c r="M9" s="410">
        <f>+'Data Inputs - 2011'!N26</f>
        <v>217814041.22912478</v>
      </c>
      <c r="N9" s="411">
        <f t="shared" si="0"/>
        <v>2447988441.7201157</v>
      </c>
    </row>
    <row r="10" spans="1:14" ht="12.75">
      <c r="A10" s="333" t="s">
        <v>51</v>
      </c>
      <c r="B10" s="410">
        <f>+'Data Inputs - 2011'!C27</f>
        <v>35096557</v>
      </c>
      <c r="C10" s="410">
        <f>+'Data Inputs - 2011'!D27</f>
        <v>30777495</v>
      </c>
      <c r="D10" s="410">
        <f>+'Data Inputs - 2011'!E27</f>
        <v>37224786</v>
      </c>
      <c r="E10" s="410">
        <f>+'Data Inputs - 2011'!F27</f>
        <v>32404250</v>
      </c>
      <c r="F10" s="410">
        <f>+'Data Inputs - 2011'!G27</f>
        <v>33505033</v>
      </c>
      <c r="G10" s="410">
        <f>+'Data Inputs - 2011'!H27</f>
        <v>33139815</v>
      </c>
      <c r="H10" s="410">
        <f>+'Data Inputs - 2011'!I27</f>
        <v>37969360</v>
      </c>
      <c r="I10" s="410">
        <f>+'Data Inputs - 2011'!J27</f>
        <v>38383819</v>
      </c>
      <c r="J10" s="410">
        <f>+'Data Inputs - 2011'!K27</f>
        <v>35811295</v>
      </c>
      <c r="K10" s="410">
        <f>+'Data Inputs - 2011'!L27</f>
        <v>34843162</v>
      </c>
      <c r="L10" s="410">
        <f>+'Data Inputs - 2011'!M27</f>
        <v>32562354</v>
      </c>
      <c r="M10" s="410">
        <f>+'Data Inputs - 2011'!N27</f>
        <v>33174916</v>
      </c>
      <c r="N10" s="411">
        <f t="shared" si="0"/>
        <v>414892842</v>
      </c>
    </row>
    <row r="11" spans="1:14" ht="12.75">
      <c r="A11" s="333" t="s">
        <v>52</v>
      </c>
      <c r="B11" s="410">
        <f>+'Data Inputs - 2011'!C28</f>
        <v>23892128.986424677</v>
      </c>
      <c r="C11" s="410">
        <f>+'Data Inputs - 2011'!D28</f>
        <v>22187486.98978901</v>
      </c>
      <c r="D11" s="410">
        <f>+'Data Inputs - 2011'!E28</f>
        <v>23823017.566372495</v>
      </c>
      <c r="E11" s="410">
        <f>+'Data Inputs - 2011'!F28</f>
        <v>20227973.185708687</v>
      </c>
      <c r="F11" s="410">
        <f>+'Data Inputs - 2011'!G28</f>
        <v>20827850.85325282</v>
      </c>
      <c r="G11" s="410">
        <f>+'Data Inputs - 2011'!H28</f>
        <v>20267882.116491325</v>
      </c>
      <c r="H11" s="410">
        <f>+'Data Inputs - 2011'!I28</f>
        <v>23069569.723985806</v>
      </c>
      <c r="I11" s="410">
        <f>+'Data Inputs - 2011'!J28</f>
        <v>18904477.829306006</v>
      </c>
      <c r="J11" s="410">
        <f>+'Data Inputs - 2011'!K28</f>
        <v>21239241.473004825</v>
      </c>
      <c r="K11" s="410">
        <f>+'Data Inputs - 2011'!L28</f>
        <v>16608872.26853967</v>
      </c>
      <c r="L11" s="410">
        <f>+'Data Inputs - 2011'!M28</f>
        <v>21265471.90960717</v>
      </c>
      <c r="M11" s="410">
        <f>+'Data Inputs - 2011'!N28</f>
        <v>21488009.28196732</v>
      </c>
      <c r="N11" s="411">
        <f t="shared" si="0"/>
        <v>253801982.18444976</v>
      </c>
    </row>
    <row r="12" spans="1:14" ht="12.75">
      <c r="A12" s="333" t="s">
        <v>53</v>
      </c>
      <c r="B12" s="410">
        <f>+'Data Inputs - 2011'!C29</f>
        <v>37338669.36657387</v>
      </c>
      <c r="C12" s="410">
        <f>+'Data Inputs - 2011'!D29</f>
        <v>38770685.520580575</v>
      </c>
      <c r="D12" s="410">
        <f>+'Data Inputs - 2011'!E29</f>
        <v>43393092.019857004</v>
      </c>
      <c r="E12" s="410">
        <f>+'Data Inputs - 2011'!F29</f>
        <v>42220873.4699043</v>
      </c>
      <c r="F12" s="410">
        <f>+'Data Inputs - 2011'!G29</f>
        <v>38261549.511217296</v>
      </c>
      <c r="G12" s="410">
        <f>+'Data Inputs - 2011'!H29</f>
        <v>41597947.68831301</v>
      </c>
      <c r="H12" s="410">
        <f>+'Data Inputs - 2011'!I29</f>
        <v>41403757.83794585</v>
      </c>
      <c r="I12" s="410">
        <f>+'Data Inputs - 2011'!J29</f>
        <v>40025150.94381815</v>
      </c>
      <c r="J12" s="410">
        <f>+'Data Inputs - 2011'!K29</f>
        <v>43093385.160355315</v>
      </c>
      <c r="K12" s="410">
        <f>+'Data Inputs - 2011'!L29</f>
        <v>41794995.01671873</v>
      </c>
      <c r="L12" s="410">
        <f>+'Data Inputs - 2011'!M29</f>
        <v>42288936.63727258</v>
      </c>
      <c r="M12" s="410">
        <f>+'Data Inputs - 2011'!N29</f>
        <v>41750306.437419</v>
      </c>
      <c r="N12" s="411">
        <f t="shared" si="0"/>
        <v>491939349.6099757</v>
      </c>
    </row>
    <row r="13" spans="1:14" ht="12.75">
      <c r="A13" s="333" t="s">
        <v>54</v>
      </c>
      <c r="B13" s="410">
        <f>+'Data Inputs - 2011'!C30</f>
        <v>77413569.44</v>
      </c>
      <c r="C13" s="410">
        <f>+'Data Inputs - 2011'!D30</f>
        <v>72775167.68</v>
      </c>
      <c r="D13" s="410">
        <f>+'Data Inputs - 2011'!E30</f>
        <v>77538009.69</v>
      </c>
      <c r="E13" s="410">
        <f>+'Data Inputs - 2011'!F30</f>
        <v>75612712.44</v>
      </c>
      <c r="F13" s="410">
        <f>+'Data Inputs - 2011'!G30</f>
        <v>76648467</v>
      </c>
      <c r="G13" s="410">
        <f>+'Data Inputs - 2011'!H30</f>
        <v>77452544.22</v>
      </c>
      <c r="H13" s="410">
        <f>+'Data Inputs - 2011'!I30</f>
        <v>77012032.9</v>
      </c>
      <c r="I13" s="410">
        <f>+'Data Inputs - 2011'!J30</f>
        <v>79399380.52000001</v>
      </c>
      <c r="J13" s="410">
        <f>+'Data Inputs - 2011'!K30</f>
        <v>80836843.09</v>
      </c>
      <c r="K13" s="410">
        <f>+'Data Inputs - 2011'!L30</f>
        <v>77490481.31</v>
      </c>
      <c r="L13" s="410">
        <f>+'Data Inputs - 2011'!M30</f>
        <v>77320565.67</v>
      </c>
      <c r="M13" s="410">
        <f>+'Data Inputs - 2011'!N30</f>
        <v>65739881.09</v>
      </c>
      <c r="N13" s="411">
        <f t="shared" si="0"/>
        <v>915239655.05</v>
      </c>
    </row>
    <row r="14" spans="1:15" ht="12.75">
      <c r="A14" s="333" t="s">
        <v>216</v>
      </c>
      <c r="B14" s="410">
        <f>+'Data Inputs - 2011'!C31</f>
        <v>161260512</v>
      </c>
      <c r="C14" s="410">
        <f>+'Data Inputs - 2011'!D31</f>
        <v>145654656</v>
      </c>
      <c r="D14" s="410">
        <f>+'Data Inputs - 2011'!E31</f>
        <v>159855764</v>
      </c>
      <c r="E14" s="410">
        <f>+'Data Inputs - 2011'!F31</f>
        <v>156058560</v>
      </c>
      <c r="F14" s="410">
        <f>+'Data Inputs - 2011'!G31</f>
        <v>161260512</v>
      </c>
      <c r="G14" s="410">
        <f>+'Data Inputs - 2011'!H31</f>
        <v>156058560</v>
      </c>
      <c r="H14" s="410">
        <f>+'Data Inputs - 2011'!I31</f>
        <v>161260512</v>
      </c>
      <c r="I14" s="410">
        <f>+'Data Inputs - 2011'!J31</f>
        <v>161260512</v>
      </c>
      <c r="J14" s="410">
        <f>+'Data Inputs - 2011'!K31</f>
        <v>88871560</v>
      </c>
      <c r="K14" s="410">
        <f>+'Data Inputs - 2011'!L31</f>
        <v>29673880</v>
      </c>
      <c r="L14" s="410">
        <f>+'Data Inputs - 2011'!M31</f>
        <v>23712264</v>
      </c>
      <c r="M14" s="410">
        <f>+'Data Inputs - 2011'!N31</f>
        <v>26105424</v>
      </c>
      <c r="N14" s="411">
        <f>SUM(B14:M14)</f>
        <v>1431032716</v>
      </c>
      <c r="O14" s="414"/>
    </row>
    <row r="15" spans="1:14" ht="12.75">
      <c r="A15" s="333" t="s">
        <v>55</v>
      </c>
      <c r="B15" s="410">
        <f>+'Data Inputs - 2011'!C32</f>
        <v>20421066</v>
      </c>
      <c r="C15" s="410">
        <f>+'Data Inputs - 2011'!D32</f>
        <v>19292747</v>
      </c>
      <c r="D15" s="410">
        <f>+'Data Inputs - 2011'!E32</f>
        <v>19378649</v>
      </c>
      <c r="E15" s="410">
        <f>+'Data Inputs - 2011'!F32</f>
        <v>15767063</v>
      </c>
      <c r="F15" s="410">
        <f>+'Data Inputs - 2011'!G32</f>
        <v>14060408</v>
      </c>
      <c r="G15" s="410">
        <f>+'Data Inputs - 2011'!H32</f>
        <v>12650029</v>
      </c>
      <c r="H15" s="410">
        <f>+'Data Inputs - 2011'!I32</f>
        <v>13607616</v>
      </c>
      <c r="I15" s="410">
        <f>+'Data Inputs - 2011'!J32</f>
        <v>13564379</v>
      </c>
      <c r="J15" s="410">
        <f>+'Data Inputs - 2011'!K32</f>
        <v>13258088</v>
      </c>
      <c r="K15" s="410">
        <f>+'Data Inputs - 2011'!L32</f>
        <v>15256829</v>
      </c>
      <c r="L15" s="410">
        <f>+'Data Inputs - 2011'!M32</f>
        <v>15816503</v>
      </c>
      <c r="M15" s="410">
        <f>+'Data Inputs - 2011'!N32</f>
        <v>18272911</v>
      </c>
      <c r="N15" s="411">
        <f t="shared" si="0"/>
        <v>191346288</v>
      </c>
    </row>
    <row r="16" spans="1:14" ht="12.75">
      <c r="A16" s="333" t="s">
        <v>56</v>
      </c>
      <c r="B16" s="412">
        <f>+'Data Inputs - 2011'!C33</f>
        <v>8861752.24295505</v>
      </c>
      <c r="C16" s="412">
        <f>+'Data Inputs - 2011'!D33</f>
        <v>8916948.142315011</v>
      </c>
      <c r="D16" s="412">
        <f>+'Data Inputs - 2011'!E33</f>
        <v>9926719.6398334</v>
      </c>
      <c r="E16" s="412">
        <f>+'Data Inputs - 2011'!F33</f>
        <v>9225098.637041202</v>
      </c>
      <c r="F16" s="412">
        <f>+'Data Inputs - 2011'!G33</f>
        <v>9906998.59548337</v>
      </c>
      <c r="G16" s="412">
        <f>+'Data Inputs - 2011'!H33</f>
        <v>8951400.126645159</v>
      </c>
      <c r="H16" s="412">
        <f>+'Data Inputs - 2011'!I33</f>
        <v>9337248.837506989</v>
      </c>
      <c r="I16" s="412">
        <f>+'Data Inputs - 2011'!J33</f>
        <v>9533539.786029493</v>
      </c>
      <c r="J16" s="412">
        <f>+'Data Inputs - 2011'!K33</f>
        <v>9875713.277327318</v>
      </c>
      <c r="K16" s="412">
        <f>+'Data Inputs - 2011'!L33</f>
        <v>9289066.42838288</v>
      </c>
      <c r="L16" s="412">
        <f>+'Data Inputs - 2011'!M33</f>
        <v>10238374.46857156</v>
      </c>
      <c r="M16" s="412">
        <f>+'Data Inputs - 2011'!N33</f>
        <v>8881528.10237779</v>
      </c>
      <c r="N16" s="413">
        <f t="shared" si="0"/>
        <v>112944388.2844692</v>
      </c>
    </row>
    <row r="17" spans="1:14" ht="12.75">
      <c r="A17" s="311" t="s">
        <v>60</v>
      </c>
      <c r="B17" s="411">
        <f aca="true" t="shared" si="1" ref="B17:M17">SUM(B7:B16)</f>
        <v>1145047247.078451</v>
      </c>
      <c r="C17" s="411">
        <f t="shared" si="1"/>
        <v>1060510583.7961146</v>
      </c>
      <c r="D17" s="411">
        <f t="shared" si="1"/>
        <v>1082228725.8287432</v>
      </c>
      <c r="E17" s="411">
        <f t="shared" si="1"/>
        <v>926992401.4439958</v>
      </c>
      <c r="F17" s="411">
        <f t="shared" si="1"/>
        <v>895795272.6351205</v>
      </c>
      <c r="G17" s="411">
        <f t="shared" si="1"/>
        <v>827873242.352039</v>
      </c>
      <c r="H17" s="411">
        <f t="shared" si="1"/>
        <v>840055902.3090795</v>
      </c>
      <c r="I17" s="411">
        <f t="shared" si="1"/>
        <v>832525420.3419129</v>
      </c>
      <c r="J17" s="411">
        <f t="shared" si="1"/>
        <v>758646461.011411</v>
      </c>
      <c r="K17" s="411">
        <f t="shared" si="1"/>
        <v>737206827.5452654</v>
      </c>
      <c r="L17" s="411">
        <f t="shared" si="1"/>
        <v>785514552.0405269</v>
      </c>
      <c r="M17" s="411">
        <f t="shared" si="1"/>
        <v>880200855.6143303</v>
      </c>
      <c r="N17" s="411">
        <f>SUM(B17:M17)</f>
        <v>10772597491.996992</v>
      </c>
    </row>
    <row r="18" spans="1:14" ht="12.75">
      <c r="A18" s="311"/>
      <c r="B18" s="411"/>
      <c r="C18" s="411"/>
      <c r="D18" s="411"/>
      <c r="E18" s="411"/>
      <c r="F18" s="411"/>
      <c r="G18" s="411"/>
      <c r="H18" s="411"/>
      <c r="I18" s="411"/>
      <c r="J18" s="411"/>
      <c r="K18" s="411"/>
      <c r="L18" s="411"/>
      <c r="M18" s="411"/>
      <c r="N18" s="411"/>
    </row>
    <row r="19" spans="1:14" ht="12.75">
      <c r="A19" s="311" t="s">
        <v>106</v>
      </c>
      <c r="B19" s="411"/>
      <c r="C19" s="411"/>
      <c r="D19" s="411"/>
      <c r="E19" s="411"/>
      <c r="F19" s="411"/>
      <c r="G19" s="411"/>
      <c r="H19" s="411"/>
      <c r="I19" s="411"/>
      <c r="J19" s="411"/>
      <c r="K19" s="411"/>
      <c r="L19" s="411"/>
      <c r="M19" s="411"/>
      <c r="N19" s="411"/>
    </row>
    <row r="20" spans="1:14" ht="12.75">
      <c r="A20" s="313" t="s">
        <v>82</v>
      </c>
      <c r="B20" s="411">
        <f>+'Data Inputs - 2011'!C37</f>
        <v>15498000</v>
      </c>
      <c r="C20" s="411">
        <f>+'Data Inputs - 2011'!D37</f>
        <v>12474000</v>
      </c>
      <c r="D20" s="411">
        <f>+'Data Inputs - 2011'!E37</f>
        <v>15456000</v>
      </c>
      <c r="E20" s="411">
        <f>+'Data Inputs - 2011'!F37</f>
        <v>14490000</v>
      </c>
      <c r="F20" s="411">
        <f>+'Data Inputs - 2011'!G37</f>
        <v>15498000</v>
      </c>
      <c r="G20" s="411">
        <f>+'Data Inputs - 2011'!H37</f>
        <v>14490000</v>
      </c>
      <c r="H20" s="411">
        <f>+'Data Inputs - 2011'!I37</f>
        <v>15498000</v>
      </c>
      <c r="I20" s="411">
        <f>+'Data Inputs - 2011'!J37</f>
        <v>15498000</v>
      </c>
      <c r="J20" s="411">
        <f>+'Data Inputs - 2011'!K37</f>
        <v>14490000</v>
      </c>
      <c r="K20" s="411">
        <f>+'Data Inputs - 2011'!L37</f>
        <v>15498000</v>
      </c>
      <c r="L20" s="411">
        <f>+'Data Inputs - 2011'!M37</f>
        <v>10094000</v>
      </c>
      <c r="M20" s="411">
        <f>+'Data Inputs - 2011'!N37</f>
        <v>15286546</v>
      </c>
      <c r="N20" s="411">
        <f>SUM(B20:M20)</f>
        <v>174270546</v>
      </c>
    </row>
    <row r="21" spans="1:14" ht="12.75">
      <c r="A21" s="323" t="s">
        <v>33</v>
      </c>
      <c r="B21" s="411">
        <f>'Data Inputs - 2011'!C38</f>
        <v>-454389.73000000045</v>
      </c>
      <c r="C21" s="411">
        <f>'Data Inputs - 2011'!D38</f>
        <v>-212701</v>
      </c>
      <c r="D21" s="411">
        <f>'Data Inputs - 2011'!E38</f>
        <v>-204956</v>
      </c>
      <c r="E21" s="411">
        <f>'Data Inputs - 2011'!F38</f>
        <v>97033</v>
      </c>
      <c r="F21" s="411">
        <f>'Data Inputs - 2011'!G38</f>
        <v>1811286.33</v>
      </c>
      <c r="G21" s="411">
        <f>'Data Inputs - 2011'!H38</f>
        <v>-59875.139999999665</v>
      </c>
      <c r="H21" s="411">
        <f>'Data Inputs - 2011'!I38</f>
        <v>2008272</v>
      </c>
      <c r="I21" s="411">
        <f>'Data Inputs - 2011'!J38</f>
        <v>1500759.79</v>
      </c>
      <c r="J21" s="411">
        <f>'Data Inputs - 2011'!K38</f>
        <v>589830</v>
      </c>
      <c r="K21" s="411">
        <f>'Data Inputs - 2011'!L38</f>
        <v>2739820.4000000004</v>
      </c>
      <c r="L21" s="411">
        <f>'Data Inputs - 2011'!M38</f>
        <v>9915768.54</v>
      </c>
      <c r="M21" s="411">
        <f>'Data Inputs - 2011'!N38</f>
        <v>-667663</v>
      </c>
      <c r="N21" s="411">
        <f>SUM(B21:M21)</f>
        <v>17063185.189999998</v>
      </c>
    </row>
    <row r="22" spans="1:14" ht="12.75">
      <c r="A22" s="323" t="s">
        <v>32</v>
      </c>
      <c r="B22" s="411">
        <f>+'Data Inputs - 2011'!C41-'Data Inputs - 2011'!C42</f>
        <v>15750000</v>
      </c>
      <c r="C22" s="411">
        <f>+'Data Inputs - 2011'!D41-'Data Inputs - 2011'!D42</f>
        <v>15750000</v>
      </c>
      <c r="D22" s="411">
        <f>+'Data Inputs - 2011'!E41-'Data Inputs - 2011'!E42</f>
        <v>15750000</v>
      </c>
      <c r="E22" s="411">
        <f>+'Data Inputs - 2011'!F41-'Data Inputs - 2011'!F42</f>
        <v>15750000</v>
      </c>
      <c r="F22" s="411">
        <f>+'Data Inputs - 2011'!G41-'Data Inputs - 2011'!G42</f>
        <v>15750000</v>
      </c>
      <c r="G22" s="411">
        <f>+'Data Inputs - 2011'!H41-'Data Inputs - 2011'!H42</f>
        <v>15750000</v>
      </c>
      <c r="H22" s="411">
        <f>+'Data Inputs - 2011'!I41-'Data Inputs - 2011'!I42</f>
        <v>15750000</v>
      </c>
      <c r="I22" s="411">
        <f>+'Data Inputs - 2011'!J41-'Data Inputs - 2011'!J42</f>
        <v>15750000</v>
      </c>
      <c r="J22" s="411">
        <f>+'Data Inputs - 2011'!K41-'Data Inputs - 2011'!K42</f>
        <v>15750000</v>
      </c>
      <c r="K22" s="411">
        <f>+'Data Inputs - 2011'!L41-'Data Inputs - 2011'!L42</f>
        <v>15750000</v>
      </c>
      <c r="L22" s="411">
        <f>+'Data Inputs - 2011'!M41-'Data Inputs - 2011'!M42</f>
        <v>15538546</v>
      </c>
      <c r="M22" s="411">
        <f>+'Data Inputs - 2011'!N41-'Data Inputs - 2011'!N42</f>
        <v>15961454</v>
      </c>
      <c r="N22" s="411">
        <f>SUM(B22:M22)</f>
        <v>189000000</v>
      </c>
    </row>
    <row r="23" spans="1:14" ht="12.75">
      <c r="A23" s="323" t="s">
        <v>119</v>
      </c>
      <c r="B23" s="413"/>
      <c r="C23" s="413"/>
      <c r="D23" s="413"/>
      <c r="E23" s="415"/>
      <c r="F23" s="415"/>
      <c r="G23" s="415"/>
      <c r="H23" s="415"/>
      <c r="I23" s="415"/>
      <c r="J23" s="415"/>
      <c r="K23" s="415"/>
      <c r="L23" s="415"/>
      <c r="M23" s="415"/>
      <c r="N23" s="411"/>
    </row>
    <row r="24" spans="1:14" ht="12.75">
      <c r="A24" s="333" t="s">
        <v>175</v>
      </c>
      <c r="B24" s="413">
        <f>+'Data Inputs - 2011'!C61</f>
        <v>-1567168</v>
      </c>
      <c r="C24" s="413">
        <f>+'Data Inputs - 2011'!D61</f>
        <v>4854744</v>
      </c>
      <c r="D24" s="413">
        <f>+'Data Inputs - 2011'!E61</f>
        <v>9607607</v>
      </c>
      <c r="E24" s="412">
        <f>+'Data Inputs - 2011'!F61</f>
        <v>13092491</v>
      </c>
      <c r="F24" s="412">
        <f>+'Data Inputs - 2011'!G61</f>
        <v>17115020</v>
      </c>
      <c r="G24" s="412">
        <f>+'Data Inputs - 2011'!H61</f>
        <v>463755</v>
      </c>
      <c r="H24" s="412">
        <f>+'Data Inputs - 2011'!I61</f>
        <v>17657977</v>
      </c>
      <c r="I24" s="412">
        <f>+'Data Inputs - 2011'!J61</f>
        <v>2305537</v>
      </c>
      <c r="J24" s="413">
        <f>+'Data Inputs - 2011'!K61</f>
        <v>-3013726</v>
      </c>
      <c r="K24" s="413">
        <f>+'Data Inputs - 2011'!L61</f>
        <v>-3944733</v>
      </c>
      <c r="L24" s="413">
        <f>+'Data Inputs - 2011'!M61</f>
        <v>-4146914</v>
      </c>
      <c r="M24" s="413">
        <f>+'Data Inputs - 2011'!N61</f>
        <v>-8737338</v>
      </c>
      <c r="N24" s="411">
        <f>SUM(B24:M24)</f>
        <v>43687252</v>
      </c>
    </row>
    <row r="25" spans="1:14" ht="12.75">
      <c r="A25" s="416" t="s">
        <v>109</v>
      </c>
      <c r="B25" s="411">
        <f>SUM(B20:B24)</f>
        <v>29226442.27</v>
      </c>
      <c r="C25" s="411">
        <f>SUM(C20:C24)</f>
        <v>32866043</v>
      </c>
      <c r="D25" s="411">
        <f>SUM(D20:D24)</f>
        <v>40608651</v>
      </c>
      <c r="E25" s="411">
        <f>SUM(E20:E24)</f>
        <v>43429524</v>
      </c>
      <c r="F25" s="411">
        <f aca="true" t="shared" si="2" ref="F25:N25">SUM(F20:F24)</f>
        <v>50174306.33</v>
      </c>
      <c r="G25" s="411">
        <f t="shared" si="2"/>
        <v>30643879.86</v>
      </c>
      <c r="H25" s="411">
        <f t="shared" si="2"/>
        <v>50914249</v>
      </c>
      <c r="I25" s="411">
        <f t="shared" si="2"/>
        <v>35054296.79</v>
      </c>
      <c r="J25" s="411">
        <f t="shared" si="2"/>
        <v>27816104</v>
      </c>
      <c r="K25" s="411">
        <f t="shared" si="2"/>
        <v>30043087.4</v>
      </c>
      <c r="L25" s="411">
        <f t="shared" si="2"/>
        <v>31401400.54</v>
      </c>
      <c r="M25" s="411">
        <f t="shared" si="2"/>
        <v>21842999</v>
      </c>
      <c r="N25" s="411">
        <f t="shared" si="2"/>
        <v>424020983.19</v>
      </c>
    </row>
    <row r="26" spans="1:14" ht="12.75">
      <c r="A26" s="416"/>
      <c r="B26" s="411"/>
      <c r="C26" s="411"/>
      <c r="D26" s="411"/>
      <c r="E26" s="411"/>
      <c r="F26" s="411"/>
      <c r="G26" s="411"/>
      <c r="H26" s="411"/>
      <c r="I26" s="411"/>
      <c r="J26" s="411"/>
      <c r="K26" s="411"/>
      <c r="L26" s="411"/>
      <c r="M26" s="411"/>
      <c r="N26" s="411"/>
    </row>
    <row r="27" spans="1:15" ht="12.75">
      <c r="A27" s="416" t="s">
        <v>178</v>
      </c>
      <c r="B27" s="411">
        <f>+B17+B25</f>
        <v>1174273689.348451</v>
      </c>
      <c r="C27" s="411">
        <f aca="true" t="shared" si="3" ref="C27:M27">+C17+C25</f>
        <v>1093376626.7961144</v>
      </c>
      <c r="D27" s="411">
        <f t="shared" si="3"/>
        <v>1122837376.8287432</v>
      </c>
      <c r="E27" s="411">
        <f t="shared" si="3"/>
        <v>970421925.4439958</v>
      </c>
      <c r="F27" s="411">
        <f t="shared" si="3"/>
        <v>945969578.9651206</v>
      </c>
      <c r="G27" s="411">
        <f t="shared" si="3"/>
        <v>858517122.212039</v>
      </c>
      <c r="H27" s="411">
        <f t="shared" si="3"/>
        <v>890970151.3090795</v>
      </c>
      <c r="I27" s="411">
        <f t="shared" si="3"/>
        <v>867579717.1319128</v>
      </c>
      <c r="J27" s="411">
        <f t="shared" si="3"/>
        <v>786462565.011411</v>
      </c>
      <c r="K27" s="411">
        <f t="shared" si="3"/>
        <v>767249914.9452654</v>
      </c>
      <c r="L27" s="411">
        <f t="shared" si="3"/>
        <v>816915952.5805268</v>
      </c>
      <c r="M27" s="411">
        <f t="shared" si="3"/>
        <v>902043854.6143303</v>
      </c>
      <c r="N27" s="411">
        <f>SUM(B27:M27)</f>
        <v>11196618475.186989</v>
      </c>
      <c r="O27" s="414"/>
    </row>
    <row r="28" spans="1:14" ht="12.75">
      <c r="A28" s="323"/>
      <c r="B28" s="411"/>
      <c r="C28" s="411"/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11"/>
    </row>
    <row r="29" spans="1:14" ht="12.75">
      <c r="A29" s="416" t="s">
        <v>107</v>
      </c>
      <c r="B29" s="327">
        <f>+'Data Inputs - 2011'!C48</f>
        <v>208000</v>
      </c>
      <c r="C29" s="327">
        <f>+'Data Inputs - 2011'!D48</f>
        <v>60000</v>
      </c>
      <c r="D29" s="327">
        <f>+'Data Inputs - 2011'!E48</f>
        <v>350000</v>
      </c>
      <c r="E29" s="327">
        <f>+'Data Inputs - 2011'!F48</f>
        <v>50000</v>
      </c>
      <c r="F29" s="327">
        <f>+'Data Inputs - 2011'!G48</f>
        <v>176000</v>
      </c>
      <c r="G29" s="327">
        <f>+'Data Inputs - 2011'!H48</f>
        <v>0</v>
      </c>
      <c r="H29" s="327">
        <f>+'Data Inputs - 2011'!I48</f>
        <v>1076000</v>
      </c>
      <c r="I29" s="327">
        <f>+'Data Inputs - 2011'!J48</f>
        <v>1230000</v>
      </c>
      <c r="J29" s="327">
        <f>+'Data Inputs - 2011'!K48</f>
        <v>276000</v>
      </c>
      <c r="K29" s="327">
        <f>+'Data Inputs - 2011'!L48</f>
        <v>966000</v>
      </c>
      <c r="L29" s="327">
        <f>+'Data Inputs - 2011'!M48</f>
        <v>3152000</v>
      </c>
      <c r="M29" s="327">
        <f>+'Data Inputs - 2011'!N48</f>
        <v>1419000</v>
      </c>
      <c r="N29" s="327">
        <f>SUM(B29:M29)</f>
        <v>8963000</v>
      </c>
    </row>
    <row r="30" ht="12.75">
      <c r="A30" s="323"/>
    </row>
    <row r="31" spans="1:14" ht="12.75">
      <c r="A31" s="416" t="s">
        <v>179</v>
      </c>
      <c r="B31" s="320">
        <f>+B17+B25+B29</f>
        <v>1174481689.348451</v>
      </c>
      <c r="C31" s="320">
        <f aca="true" t="shared" si="4" ref="C31:M31">+C17+C25+C29</f>
        <v>1093436626.7961144</v>
      </c>
      <c r="D31" s="320">
        <f t="shared" si="4"/>
        <v>1123187376.8287432</v>
      </c>
      <c r="E31" s="320">
        <f t="shared" si="4"/>
        <v>970471925.4439958</v>
      </c>
      <c r="F31" s="320">
        <f t="shared" si="4"/>
        <v>946145578.9651206</v>
      </c>
      <c r="G31" s="320">
        <f t="shared" si="4"/>
        <v>858517122.212039</v>
      </c>
      <c r="H31" s="320">
        <f t="shared" si="4"/>
        <v>892046151.3090795</v>
      </c>
      <c r="I31" s="320">
        <f t="shared" si="4"/>
        <v>868809717.1319128</v>
      </c>
      <c r="J31" s="320">
        <f t="shared" si="4"/>
        <v>786738565.011411</v>
      </c>
      <c r="K31" s="320">
        <f t="shared" si="4"/>
        <v>768215914.9452654</v>
      </c>
      <c r="L31" s="320">
        <f t="shared" si="4"/>
        <v>820067952.5805268</v>
      </c>
      <c r="M31" s="320">
        <f t="shared" si="4"/>
        <v>903462854.6143303</v>
      </c>
      <c r="N31" s="320">
        <f>SUM(B31:M31)</f>
        <v>11205581475.186989</v>
      </c>
    </row>
    <row r="32" ht="12.75">
      <c r="A32" s="323"/>
    </row>
    <row r="33" ht="38.25">
      <c r="A33" s="417" t="s">
        <v>61</v>
      </c>
    </row>
    <row r="34" spans="1:18" ht="12.75">
      <c r="A34" s="333" t="s">
        <v>103</v>
      </c>
      <c r="B34" s="418">
        <v>0.125577630534357</v>
      </c>
      <c r="C34" s="418">
        <v>0.12260785147028241</v>
      </c>
      <c r="D34" s="418">
        <v>0.10724414782494773</v>
      </c>
      <c r="E34" s="418">
        <v>0.09426667603603889</v>
      </c>
      <c r="F34" s="418">
        <v>0.08313677775315598</v>
      </c>
      <c r="G34" s="418">
        <v>0.0788235089224012</v>
      </c>
      <c r="H34" s="418">
        <v>0.08283224319842653</v>
      </c>
      <c r="I34" s="418">
        <v>0.08095745713662406</v>
      </c>
      <c r="J34" s="418">
        <v>0.0784286328819499</v>
      </c>
      <c r="K34" s="418">
        <v>0.0873677441974885</v>
      </c>
      <c r="L34" s="418">
        <v>0.10462607944074631</v>
      </c>
      <c r="M34" s="418">
        <v>0.13209410872585403</v>
      </c>
      <c r="N34" s="419">
        <v>0.10241163760971594</v>
      </c>
      <c r="O34" s="420"/>
      <c r="P34" s="320"/>
      <c r="Q34" s="331"/>
      <c r="R34" s="421"/>
    </row>
    <row r="35" spans="1:17" ht="12.75">
      <c r="A35" s="333" t="s">
        <v>104</v>
      </c>
      <c r="B35" s="422">
        <v>0.14623935236977803</v>
      </c>
      <c r="C35" s="422">
        <v>0.13891529605390596</v>
      </c>
      <c r="D35" s="422">
        <v>0.12456577733909602</v>
      </c>
      <c r="E35" s="422">
        <v>0.10954488286536046</v>
      </c>
      <c r="F35" s="422">
        <v>0.0772023516051561</v>
      </c>
      <c r="G35" s="422">
        <v>0.07546303824178624</v>
      </c>
      <c r="H35" s="422">
        <v>0.07821543379293239</v>
      </c>
      <c r="I35" s="422">
        <v>0.08689116853049694</v>
      </c>
      <c r="J35" s="422">
        <v>0.07634373485559642</v>
      </c>
      <c r="K35" s="422">
        <v>0.09910978926854996</v>
      </c>
      <c r="L35" s="422">
        <v>0.12012773153429968</v>
      </c>
      <c r="M35" s="422">
        <v>0.14161252331609542</v>
      </c>
      <c r="N35" s="423">
        <v>0.11787361397613982</v>
      </c>
      <c r="O35" s="420"/>
      <c r="P35" s="320"/>
      <c r="Q35" s="331"/>
    </row>
    <row r="36" spans="1:17" ht="12.75">
      <c r="A36" s="333" t="s">
        <v>105</v>
      </c>
      <c r="B36" s="418">
        <v>0.12667702767107425</v>
      </c>
      <c r="C36" s="418">
        <v>0.12345165906145339</v>
      </c>
      <c r="D36" s="418">
        <v>0.10812234340290994</v>
      </c>
      <c r="E36" s="418">
        <v>0.09505303861799064</v>
      </c>
      <c r="F36" s="418">
        <v>0.08288059189202435</v>
      </c>
      <c r="G36" s="418">
        <v>0.07871154408571002</v>
      </c>
      <c r="H36" s="418">
        <v>0.08270002714076496</v>
      </c>
      <c r="I36" s="418">
        <v>0.0811186665739172</v>
      </c>
      <c r="J36" s="418">
        <v>0.07836553985239725</v>
      </c>
      <c r="K36" s="418">
        <v>0.08780241276172807</v>
      </c>
      <c r="L36" s="418">
        <v>0.10537353454354847</v>
      </c>
      <c r="M36" s="418">
        <v>0.1326914235680141</v>
      </c>
      <c r="N36" s="419">
        <v>0.10311691865229045</v>
      </c>
      <c r="O36" s="420"/>
      <c r="P36" s="320"/>
      <c r="Q36" s="331"/>
    </row>
    <row r="37" spans="1:17" ht="12.75">
      <c r="A37" s="333" t="s">
        <v>49</v>
      </c>
      <c r="B37" s="418">
        <v>0.1158314213882552</v>
      </c>
      <c r="C37" s="418">
        <v>0.11728723359251259</v>
      </c>
      <c r="D37" s="418">
        <v>0.10807075175468484</v>
      </c>
      <c r="E37" s="418">
        <v>0.0965935743135462</v>
      </c>
      <c r="F37" s="418">
        <v>0.08321775151151334</v>
      </c>
      <c r="G37" s="418">
        <v>0.0709559539311655</v>
      </c>
      <c r="H37" s="418">
        <v>0.08373758438717482</v>
      </c>
      <c r="I37" s="418">
        <v>0.09138511260853965</v>
      </c>
      <c r="J37" s="418">
        <v>0.07759350940452636</v>
      </c>
      <c r="K37" s="418">
        <v>0.07688202608508754</v>
      </c>
      <c r="L37" s="418">
        <v>0.09612406962460063</v>
      </c>
      <c r="M37" s="418">
        <v>0.1060294833328026</v>
      </c>
      <c r="N37" s="419">
        <v>0.09586838878253068</v>
      </c>
      <c r="O37" s="420"/>
      <c r="P37" s="320"/>
      <c r="Q37" s="331"/>
    </row>
    <row r="38" spans="1:17" ht="12.75">
      <c r="A38" s="333" t="s">
        <v>50</v>
      </c>
      <c r="B38" s="418">
        <v>0.08112241729089908</v>
      </c>
      <c r="C38" s="418">
        <v>0.07985028128818272</v>
      </c>
      <c r="D38" s="418">
        <v>0.07213181936030688</v>
      </c>
      <c r="E38" s="418">
        <v>0.0619912403299292</v>
      </c>
      <c r="F38" s="418">
        <v>0.057983809091026295</v>
      </c>
      <c r="G38" s="418">
        <v>0.05285587551604087</v>
      </c>
      <c r="H38" s="418">
        <v>0.05979307743496509</v>
      </c>
      <c r="I38" s="418">
        <v>0.05866540805303089</v>
      </c>
      <c r="J38" s="418">
        <v>0.05591971911129945</v>
      </c>
      <c r="K38" s="418">
        <v>0.062239412981072606</v>
      </c>
      <c r="L38" s="418">
        <v>0.07191979709011975</v>
      </c>
      <c r="M38" s="418">
        <v>0.07612034014292246</v>
      </c>
      <c r="N38" s="419">
        <v>0.06661153271759579</v>
      </c>
      <c r="O38" s="420"/>
      <c r="P38" s="320"/>
      <c r="Q38" s="331"/>
    </row>
    <row r="39" spans="1:17" ht="12.75">
      <c r="A39" s="333" t="s">
        <v>51</v>
      </c>
      <c r="B39" s="418">
        <v>0.07583060557556909</v>
      </c>
      <c r="C39" s="418">
        <v>0.07533170861755889</v>
      </c>
      <c r="D39" s="418">
        <v>0.07066742636797096</v>
      </c>
      <c r="E39" s="418">
        <v>0.06519714870405169</v>
      </c>
      <c r="F39" s="418">
        <v>0.054201723180773875</v>
      </c>
      <c r="G39" s="418">
        <v>0.05140499328246273</v>
      </c>
      <c r="H39" s="418">
        <v>0.062031698385114575</v>
      </c>
      <c r="I39" s="418">
        <v>0.07008950438727513</v>
      </c>
      <c r="J39" s="418">
        <v>0.0566815358330055</v>
      </c>
      <c r="K39" s="418">
        <v>0.07118095772977795</v>
      </c>
      <c r="L39" s="418">
        <v>0.07750083212547287</v>
      </c>
      <c r="M39" s="418">
        <v>0.07369585720174276</v>
      </c>
      <c r="N39" s="419">
        <v>0.06699098738794884</v>
      </c>
      <c r="O39" s="420"/>
      <c r="P39" s="320"/>
      <c r="Q39" s="331"/>
    </row>
    <row r="40" spans="1:17" ht="12.75">
      <c r="A40" s="333" t="s">
        <v>52</v>
      </c>
      <c r="B40" s="418">
        <v>0.0680329374587012</v>
      </c>
      <c r="C40" s="418">
        <v>0.0677691337002535</v>
      </c>
      <c r="D40" s="418">
        <v>0.06368587617621069</v>
      </c>
      <c r="E40" s="418">
        <v>0.059687753294169976</v>
      </c>
      <c r="F40" s="418">
        <v>0.05577251289267471</v>
      </c>
      <c r="G40" s="418">
        <v>0.0558987291035864</v>
      </c>
      <c r="H40" s="418">
        <v>0.06070979527425591</v>
      </c>
      <c r="I40" s="418">
        <v>0.06214551792642009</v>
      </c>
      <c r="J40" s="418">
        <v>0.06062458403497306</v>
      </c>
      <c r="K40" s="418">
        <v>0.06397022199370617</v>
      </c>
      <c r="L40" s="418">
        <v>0.06980551661737144</v>
      </c>
      <c r="M40" s="418">
        <v>0.06717744341066822</v>
      </c>
      <c r="N40" s="419">
        <v>0.06300192881964861</v>
      </c>
      <c r="O40" s="420"/>
      <c r="P40" s="320"/>
      <c r="Q40" s="331"/>
    </row>
    <row r="41" spans="1:17" ht="12.75">
      <c r="A41" s="333" t="s">
        <v>53</v>
      </c>
      <c r="B41" s="418">
        <v>0.06281302564206781</v>
      </c>
      <c r="C41" s="418">
        <v>0.062220496988982354</v>
      </c>
      <c r="D41" s="418">
        <v>0.05891909425685404</v>
      </c>
      <c r="E41" s="418">
        <v>0.05581597460716581</v>
      </c>
      <c r="F41" s="418">
        <v>0.05100803715317315</v>
      </c>
      <c r="G41" s="418">
        <v>0.04971507255669039</v>
      </c>
      <c r="H41" s="418">
        <v>0.055179693124387086</v>
      </c>
      <c r="I41" s="418">
        <v>0.057893659335901404</v>
      </c>
      <c r="J41" s="418">
        <v>0.051941125139986166</v>
      </c>
      <c r="K41" s="418">
        <v>0.05991548554726345</v>
      </c>
      <c r="L41" s="418">
        <v>0.06443063411176642</v>
      </c>
      <c r="M41" s="418">
        <v>0.06185677085775865</v>
      </c>
      <c r="N41" s="419">
        <v>0.05761748098658104</v>
      </c>
      <c r="O41" s="420"/>
      <c r="P41" s="320"/>
      <c r="Q41" s="331"/>
    </row>
    <row r="42" spans="1:17" ht="12.75">
      <c r="A42" s="333" t="s">
        <v>54</v>
      </c>
      <c r="B42" s="418">
        <v>0.05040299106206647</v>
      </c>
      <c r="C42" s="418">
        <v>0.05021730663727553</v>
      </c>
      <c r="D42" s="418">
        <v>0.0485331140744123</v>
      </c>
      <c r="E42" s="418">
        <v>0.0466515774166385</v>
      </c>
      <c r="F42" s="418">
        <v>0.04546386540071001</v>
      </c>
      <c r="G42" s="418">
        <v>0.045103907422443745</v>
      </c>
      <c r="H42" s="418">
        <v>0.045352769472924104</v>
      </c>
      <c r="I42" s="418">
        <v>0.04857879694299205</v>
      </c>
      <c r="J42" s="418">
        <v>0.049848827190827505</v>
      </c>
      <c r="K42" s="418">
        <v>0.049500039939094576</v>
      </c>
      <c r="L42" s="418">
        <v>0.0522617453407217</v>
      </c>
      <c r="M42" s="418">
        <v>0.05003175974723639</v>
      </c>
      <c r="N42" s="419">
        <v>0.04848808278365224</v>
      </c>
      <c r="O42" s="420"/>
      <c r="P42" s="320"/>
      <c r="Q42" s="331"/>
    </row>
    <row r="43" spans="1:17" ht="12.75">
      <c r="A43" s="333" t="s">
        <v>58</v>
      </c>
      <c r="B43" s="418">
        <v>0.02039643054221041</v>
      </c>
      <c r="C43" s="418">
        <v>0.02039951176254773</v>
      </c>
      <c r="D43" s="418">
        <v>0.02039979163430461</v>
      </c>
      <c r="E43" s="418">
        <v>0.02039986517024195</v>
      </c>
      <c r="F43" s="418">
        <v>0.02040299137269197</v>
      </c>
      <c r="G43" s="418">
        <v>0.020400024061005162</v>
      </c>
      <c r="H43" s="418">
        <v>0.020399899119122766</v>
      </c>
      <c r="I43" s="418">
        <v>0.02039922371720304</v>
      </c>
      <c r="J43" s="418">
        <v>0.020400000000004193</v>
      </c>
      <c r="K43" s="418">
        <v>0.020397383031496963</v>
      </c>
      <c r="L43" s="418">
        <v>0.020396577404478977</v>
      </c>
      <c r="M43" s="418">
        <v>0.02040089147380031</v>
      </c>
      <c r="N43" s="419">
        <v>0.020399383854256437</v>
      </c>
      <c r="O43" s="420"/>
      <c r="P43" s="320"/>
      <c r="Q43" s="331"/>
    </row>
    <row r="44" spans="1:17" ht="12.75">
      <c r="A44" s="333" t="s">
        <v>55</v>
      </c>
      <c r="B44" s="418">
        <v>0.05165091170701186</v>
      </c>
      <c r="C44" s="418">
        <v>0.05123019100180404</v>
      </c>
      <c r="D44" s="418">
        <v>0.052891285339145666</v>
      </c>
      <c r="E44" s="418">
        <v>0.04885051022553788</v>
      </c>
      <c r="F44" s="418">
        <v>0.05044734843969567</v>
      </c>
      <c r="G44" s="418">
        <v>0.04593576085208939</v>
      </c>
      <c r="H44" s="418">
        <v>0.03577225282337526</v>
      </c>
      <c r="I44" s="418">
        <v>0.04251146010193585</v>
      </c>
      <c r="J44" s="418">
        <v>0.034864777678559555</v>
      </c>
      <c r="K44" s="418">
        <v>0.04154100206075162</v>
      </c>
      <c r="L44" s="418">
        <v>0.04613004201752302</v>
      </c>
      <c r="M44" s="418">
        <v>0.05973729220536361</v>
      </c>
      <c r="N44" s="419">
        <v>0.04753080583403779</v>
      </c>
      <c r="O44" s="420"/>
      <c r="P44" s="320"/>
      <c r="Q44" s="331"/>
    </row>
    <row r="45" spans="1:17" ht="12.75">
      <c r="A45" s="333" t="s">
        <v>56</v>
      </c>
      <c r="B45" s="422">
        <v>0.1414693623394665</v>
      </c>
      <c r="C45" s="422">
        <v>0.14304646248175046</v>
      </c>
      <c r="D45" s="422">
        <v>0.13941359461908065</v>
      </c>
      <c r="E45" s="422">
        <v>0.11252460516824914</v>
      </c>
      <c r="F45" s="422">
        <v>0.10543357683949695</v>
      </c>
      <c r="G45" s="422">
        <v>0.07270880493493737</v>
      </c>
      <c r="H45" s="422">
        <v>0.07981375709842564</v>
      </c>
      <c r="I45" s="422">
        <v>0.10020281913857931</v>
      </c>
      <c r="J45" s="422">
        <v>0.07570406683528441</v>
      </c>
      <c r="K45" s="422">
        <v>0.08817523388898518</v>
      </c>
      <c r="L45" s="422">
        <v>0.09727275275582903</v>
      </c>
      <c r="M45" s="422">
        <v>0.1486360818355439</v>
      </c>
      <c r="N45" s="423">
        <v>0.11209826916438126</v>
      </c>
      <c r="O45" s="420"/>
      <c r="P45" s="320"/>
      <c r="Q45" s="331"/>
    </row>
    <row r="46" spans="1:15" ht="12.75">
      <c r="A46" s="333"/>
      <c r="B46" s="420"/>
      <c r="C46" s="420"/>
      <c r="D46" s="420"/>
      <c r="E46" s="420"/>
      <c r="F46" s="420"/>
      <c r="G46" s="420"/>
      <c r="H46" s="420"/>
      <c r="I46" s="420"/>
      <c r="J46" s="420"/>
      <c r="K46" s="420"/>
      <c r="L46" s="420"/>
      <c r="M46" s="420"/>
      <c r="N46" s="420"/>
      <c r="O46" s="420"/>
    </row>
    <row r="47" spans="1:15" ht="12.75">
      <c r="A47" s="317" t="s">
        <v>106</v>
      </c>
      <c r="B47" s="420"/>
      <c r="C47" s="420"/>
      <c r="D47" s="420"/>
      <c r="E47" s="420"/>
      <c r="F47" s="420"/>
      <c r="G47" s="420"/>
      <c r="H47" s="420"/>
      <c r="I47" s="420"/>
      <c r="J47" s="420"/>
      <c r="K47" s="420"/>
      <c r="L47" s="420"/>
      <c r="M47" s="420"/>
      <c r="N47" s="420"/>
      <c r="O47" s="420"/>
    </row>
    <row r="48" spans="1:17" ht="12.75">
      <c r="A48" s="313" t="s">
        <v>82</v>
      </c>
      <c r="B48" s="419">
        <v>0.020399999999999974</v>
      </c>
      <c r="C48" s="419">
        <v>0.020400000000000196</v>
      </c>
      <c r="D48" s="419">
        <v>0.020399999999999974</v>
      </c>
      <c r="E48" s="419">
        <v>0.020400000000000196</v>
      </c>
      <c r="F48" s="419">
        <v>0.020399999999999974</v>
      </c>
      <c r="G48" s="419">
        <v>0.020400000000000196</v>
      </c>
      <c r="H48" s="419">
        <v>0.020399999999999974</v>
      </c>
      <c r="I48" s="419">
        <v>0.020399999999999974</v>
      </c>
      <c r="J48" s="419">
        <v>0.020400000000000196</v>
      </c>
      <c r="K48" s="419">
        <v>0.020399999999999974</v>
      </c>
      <c r="L48" s="419">
        <v>0.020400000000000196</v>
      </c>
      <c r="M48" s="419">
        <v>0.020399999999999974</v>
      </c>
      <c r="N48" s="420">
        <v>0.02</v>
      </c>
      <c r="O48" s="420"/>
      <c r="P48" s="320"/>
      <c r="Q48" s="331"/>
    </row>
    <row r="49" spans="1:17" ht="12.75">
      <c r="A49" s="323" t="s">
        <v>33</v>
      </c>
      <c r="B49" s="419">
        <v>0.02351475546796178</v>
      </c>
      <c r="C49" s="419">
        <v>0.022197906809981127</v>
      </c>
      <c r="D49" s="419">
        <v>0.02147223479291127</v>
      </c>
      <c r="E49" s="419">
        <v>0.02123572445738109</v>
      </c>
      <c r="F49" s="419">
        <v>0.022272243279221282</v>
      </c>
      <c r="G49" s="419">
        <v>0.02477037815302552</v>
      </c>
      <c r="H49" s="419">
        <v>0.023397053977209703</v>
      </c>
      <c r="I49" s="419">
        <v>0.023664634576626264</v>
      </c>
      <c r="J49" s="419">
        <v>0.023633844421510064</v>
      </c>
      <c r="K49" s="419">
        <v>0.023046859623501392</v>
      </c>
      <c r="L49" s="419">
        <v>0.023184998884930197</v>
      </c>
      <c r="M49" s="419">
        <v>0.023321517132322</v>
      </c>
      <c r="N49" s="420">
        <v>0.0231</v>
      </c>
      <c r="O49" s="420"/>
      <c r="P49" s="320"/>
      <c r="Q49" s="331"/>
    </row>
    <row r="50" spans="1:17" ht="12.75">
      <c r="A50" s="323" t="s">
        <v>32</v>
      </c>
      <c r="B50" s="419">
        <v>0.020400000000000418</v>
      </c>
      <c r="C50" s="419">
        <v>0.020400000000000418</v>
      </c>
      <c r="D50" s="419">
        <v>0.020400000000000418</v>
      </c>
      <c r="E50" s="419">
        <v>0.020400000000000418</v>
      </c>
      <c r="F50" s="419">
        <v>0.020400000000000418</v>
      </c>
      <c r="G50" s="419">
        <v>0.020400000000000418</v>
      </c>
      <c r="H50" s="419">
        <v>0.020400000000000418</v>
      </c>
      <c r="I50" s="419">
        <v>0.020400000000000418</v>
      </c>
      <c r="J50" s="419">
        <v>0.020400000000000418</v>
      </c>
      <c r="K50" s="419">
        <v>0.020400000000000418</v>
      </c>
      <c r="L50" s="419">
        <v>0.020400000000000418</v>
      </c>
      <c r="M50" s="419">
        <v>0.020400000000000418</v>
      </c>
      <c r="N50" s="420">
        <v>0.0204</v>
      </c>
      <c r="O50" s="420"/>
      <c r="P50" s="320"/>
      <c r="Q50" s="331"/>
    </row>
    <row r="51" spans="1:17" ht="12.75">
      <c r="A51" s="323"/>
      <c r="B51" s="420"/>
      <c r="C51" s="420"/>
      <c r="D51" s="420"/>
      <c r="E51" s="420"/>
      <c r="F51" s="420"/>
      <c r="G51" s="420"/>
      <c r="H51" s="420"/>
      <c r="I51" s="420"/>
      <c r="J51" s="420"/>
      <c r="K51" s="420"/>
      <c r="L51" s="420"/>
      <c r="M51" s="420"/>
      <c r="N51" s="420"/>
      <c r="O51" s="420"/>
      <c r="P51" s="320"/>
      <c r="Q51" s="331"/>
    </row>
    <row r="52" spans="1:17" ht="12.75">
      <c r="A52" s="416" t="s">
        <v>107</v>
      </c>
      <c r="B52" s="424">
        <v>0</v>
      </c>
      <c r="C52" s="424">
        <v>0.030806507442021402</v>
      </c>
      <c r="D52" s="424">
        <v>0.030878552971576267</v>
      </c>
      <c r="E52" s="424">
        <v>0.03086164043082018</v>
      </c>
      <c r="F52" s="424">
        <v>0.03092223248736481</v>
      </c>
      <c r="G52" s="424">
        <v>0.0309431471243502</v>
      </c>
      <c r="H52" s="424">
        <v>0.03091258689542964</v>
      </c>
      <c r="I52" s="424">
        <v>0.030889033095392593</v>
      </c>
      <c r="J52" s="424">
        <v>0.030940594059405857</v>
      </c>
      <c r="K52" s="424">
        <v>0.030914770717906492</v>
      </c>
      <c r="L52" s="424">
        <v>0.030925469045843146</v>
      </c>
      <c r="M52" s="424">
        <v>0.03100454733360891</v>
      </c>
      <c r="N52" s="420">
        <f>1202/38878</f>
        <v>0.030917228252482123</v>
      </c>
      <c r="O52" s="420"/>
      <c r="P52" s="320"/>
      <c r="Q52" s="320"/>
    </row>
    <row r="53" spans="1:17" ht="12.75">
      <c r="A53" s="311"/>
      <c r="O53" s="425"/>
      <c r="P53" s="320"/>
      <c r="Q53" s="331"/>
    </row>
    <row r="54" ht="12.75">
      <c r="A54" s="311" t="s">
        <v>62</v>
      </c>
    </row>
    <row r="55" spans="1:17" ht="12.75">
      <c r="A55" s="333" t="s">
        <v>103</v>
      </c>
      <c r="B55" s="410">
        <f aca="true" t="shared" si="5" ref="B55:D56">B86*B$83</f>
        <v>538958836.7821901</v>
      </c>
      <c r="C55" s="410">
        <f t="shared" si="5"/>
        <v>488574653.7198431</v>
      </c>
      <c r="D55" s="410">
        <f t="shared" si="5"/>
        <v>471630039.13949186</v>
      </c>
      <c r="E55" s="410">
        <f aca="true" t="shared" si="6" ref="E55:L55">E86*E$83</f>
        <v>373857815.3358327</v>
      </c>
      <c r="F55" s="410">
        <f t="shared" si="6"/>
        <v>333461986.51452583</v>
      </c>
      <c r="G55" s="410">
        <f t="shared" si="6"/>
        <v>279957355.446279</v>
      </c>
      <c r="H55" s="410">
        <f t="shared" si="6"/>
        <v>276724638.3558389</v>
      </c>
      <c r="I55" s="410">
        <f t="shared" si="6"/>
        <v>280880849.47178864</v>
      </c>
      <c r="J55" s="410">
        <f>J86*J83</f>
        <v>275101373.1329176</v>
      </c>
      <c r="K55" s="410">
        <f t="shared" si="6"/>
        <v>317623876.8071168</v>
      </c>
      <c r="L55" s="410">
        <f t="shared" si="6"/>
        <v>370043723.82519454</v>
      </c>
      <c r="M55" s="410">
        <f>M86*M$83</f>
        <v>457638278.9686977</v>
      </c>
      <c r="N55" s="410">
        <f>SUM(B55:M55)</f>
        <v>4464453427.499717</v>
      </c>
      <c r="Q55" s="331"/>
    </row>
    <row r="56" spans="1:14" ht="12.75">
      <c r="A56" s="333" t="s">
        <v>104</v>
      </c>
      <c r="B56" s="412">
        <f t="shared" si="5"/>
        <v>27389140.770671897</v>
      </c>
      <c r="C56" s="412">
        <f t="shared" si="5"/>
        <v>26136266.408067252</v>
      </c>
      <c r="D56" s="412">
        <f t="shared" si="5"/>
        <v>25948766.657032244</v>
      </c>
      <c r="E56" s="412">
        <f aca="true" t="shared" si="7" ref="E56:M56">E87*E$83</f>
        <v>21067808.409481667</v>
      </c>
      <c r="F56" s="412">
        <f t="shared" si="7"/>
        <v>14148419.357215041</v>
      </c>
      <c r="G56" s="412">
        <f t="shared" si="7"/>
        <v>9723259.141115576</v>
      </c>
      <c r="H56" s="412">
        <f t="shared" si="7"/>
        <v>7823640.755652088</v>
      </c>
      <c r="I56" s="412">
        <f t="shared" si="7"/>
        <v>8207360.523175726</v>
      </c>
      <c r="J56" s="412">
        <f t="shared" si="7"/>
        <v>8888848.340396728</v>
      </c>
      <c r="K56" s="412">
        <f t="shared" si="7"/>
        <v>12612700.962879322</v>
      </c>
      <c r="L56" s="412">
        <f t="shared" si="7"/>
        <v>19871157.24736626</v>
      </c>
      <c r="M56" s="412">
        <f t="shared" si="7"/>
        <v>30837137.9555797</v>
      </c>
      <c r="N56" s="412">
        <f aca="true" t="shared" si="8" ref="N56:N67">SUM(B56:M56)</f>
        <v>212654506.5286335</v>
      </c>
    </row>
    <row r="57" spans="1:14" ht="12.75">
      <c r="A57" s="333" t="s">
        <v>105</v>
      </c>
      <c r="B57" s="410">
        <f aca="true" t="shared" si="9" ref="B57:C66">B88*B$83</f>
        <v>566406962.9119617</v>
      </c>
      <c r="C57" s="410">
        <f t="shared" si="9"/>
        <v>514723291.5137917</v>
      </c>
      <c r="D57" s="410">
        <f aca="true" t="shared" si="10" ref="D57:M57">D88*D$83</f>
        <v>497573449.0918669</v>
      </c>
      <c r="E57" s="410">
        <f t="shared" si="10"/>
        <v>394919117.5383701</v>
      </c>
      <c r="F57" s="410">
        <f t="shared" si="10"/>
        <v>347606115.06570756</v>
      </c>
      <c r="G57" s="410">
        <f t="shared" si="10"/>
        <v>289680929.17146564</v>
      </c>
      <c r="H57" s="410">
        <f t="shared" si="10"/>
        <v>284547031.12556094</v>
      </c>
      <c r="I57" s="410">
        <f t="shared" si="10"/>
        <v>289086509.9154</v>
      </c>
      <c r="J57" s="410">
        <f t="shared" si="10"/>
        <v>283990823.5994758</v>
      </c>
      <c r="K57" s="410">
        <f t="shared" si="10"/>
        <v>330233789.53366715</v>
      </c>
      <c r="L57" s="410">
        <f t="shared" si="10"/>
        <v>389903533.80631626</v>
      </c>
      <c r="M57" s="410">
        <f t="shared" si="10"/>
        <v>488475899.8010041</v>
      </c>
      <c r="N57" s="410">
        <f t="shared" si="8"/>
        <v>4677147453.074588</v>
      </c>
    </row>
    <row r="58" spans="1:14" ht="12.75">
      <c r="A58" s="333" t="s">
        <v>49</v>
      </c>
      <c r="B58" s="410">
        <f t="shared" si="9"/>
        <v>27230174.393899888</v>
      </c>
      <c r="C58" s="410">
        <f t="shared" si="9"/>
        <v>26036740.708376065</v>
      </c>
      <c r="D58" s="410">
        <f aca="true" t="shared" si="11" ref="D58:M58">D89*D$83</f>
        <v>26910652.100588836</v>
      </c>
      <c r="E58" s="410">
        <f t="shared" si="11"/>
        <v>21499765.89906212</v>
      </c>
      <c r="F58" s="410">
        <f t="shared" si="11"/>
        <v>20668729.77531719</v>
      </c>
      <c r="G58" s="410">
        <f t="shared" si="11"/>
        <v>17979123.477262422</v>
      </c>
      <c r="H58" s="410">
        <f t="shared" si="11"/>
        <v>18913167.84392819</v>
      </c>
      <c r="I58" s="410">
        <f t="shared" si="11"/>
        <v>19221228.560036737</v>
      </c>
      <c r="J58" s="410">
        <f t="shared" si="11"/>
        <v>18892164.488614295</v>
      </c>
      <c r="K58" s="410">
        <f t="shared" si="11"/>
        <v>19896839.41543909</v>
      </c>
      <c r="L58" s="410">
        <f t="shared" si="11"/>
        <v>19583337.331636246</v>
      </c>
      <c r="M58" s="410">
        <f t="shared" si="11"/>
        <v>22801838.693829957</v>
      </c>
      <c r="N58" s="410">
        <f t="shared" si="8"/>
        <v>259633762.68799108</v>
      </c>
    </row>
    <row r="59" spans="1:14" ht="12.75">
      <c r="A59" s="333" t="s">
        <v>50</v>
      </c>
      <c r="B59" s="410">
        <f t="shared" si="9"/>
        <v>252287094.31872255</v>
      </c>
      <c r="C59" s="410">
        <f t="shared" si="9"/>
        <v>238923701.04421923</v>
      </c>
      <c r="D59" s="410">
        <f aca="true" t="shared" si="12" ref="D59:L59">D90*D$83</f>
        <v>239783437.41275936</v>
      </c>
      <c r="E59" s="410">
        <f t="shared" si="12"/>
        <v>205231051.70616087</v>
      </c>
      <c r="F59" s="410">
        <f t="shared" si="12"/>
        <v>194757879.26529714</v>
      </c>
      <c r="G59" s="410">
        <f t="shared" si="12"/>
        <v>197087453.8302934</v>
      </c>
      <c r="H59" s="410">
        <f t="shared" si="12"/>
        <v>207325693.87666166</v>
      </c>
      <c r="I59" s="410">
        <f t="shared" si="12"/>
        <v>204744630.84208688</v>
      </c>
      <c r="J59" s="410">
        <f t="shared" si="12"/>
        <v>191034037.5347329</v>
      </c>
      <c r="K59" s="410">
        <f t="shared" si="12"/>
        <v>214084977.13279969</v>
      </c>
      <c r="L59" s="410">
        <f t="shared" si="12"/>
        <v>212095336.29455343</v>
      </c>
      <c r="M59" s="410">
        <f>M90*M$83</f>
        <v>236960810.97923535</v>
      </c>
      <c r="N59" s="410">
        <f t="shared" si="8"/>
        <v>2594316104.2375216</v>
      </c>
    </row>
    <row r="60" spans="1:14" ht="12.75">
      <c r="A60" s="333" t="s">
        <v>51</v>
      </c>
      <c r="B60" s="410">
        <f t="shared" si="9"/>
        <v>36777230.9832022</v>
      </c>
      <c r="C60" s="410">
        <f t="shared" si="9"/>
        <v>32206296.475327563</v>
      </c>
      <c r="D60" s="410">
        <f aca="true" t="shared" si="13" ref="D60:L60">D91*D$83</f>
        <v>39063534.622139305</v>
      </c>
      <c r="E60" s="410">
        <f t="shared" si="13"/>
        <v>34398185.79595777</v>
      </c>
      <c r="F60" s="410">
        <f t="shared" si="13"/>
        <v>34201497.88478665</v>
      </c>
      <c r="G60" s="410">
        <f t="shared" si="13"/>
        <v>34461899.69704923</v>
      </c>
      <c r="H60" s="410">
        <f t="shared" si="13"/>
        <v>40282078.24538727</v>
      </c>
      <c r="I60" s="410">
        <f t="shared" si="13"/>
        <v>41679808.358001485</v>
      </c>
      <c r="J60" s="410">
        <f t="shared" si="13"/>
        <v>37527595.30792999</v>
      </c>
      <c r="K60" s="410">
        <f t="shared" si="13"/>
        <v>38150078.42539813</v>
      </c>
      <c r="L60" s="410">
        <f t="shared" si="13"/>
        <v>35470041.09234419</v>
      </c>
      <c r="M60" s="410">
        <f>M91*M$83</f>
        <v>36009817.784416325</v>
      </c>
      <c r="N60" s="410">
        <f t="shared" si="8"/>
        <v>440228064.67194</v>
      </c>
    </row>
    <row r="61" spans="1:14" ht="12.75">
      <c r="A61" s="333" t="s">
        <v>52</v>
      </c>
      <c r="B61" s="410">
        <f t="shared" si="9"/>
        <v>24854790.98884463</v>
      </c>
      <c r="C61" s="410">
        <f t="shared" si="9"/>
        <v>23054225.83413758</v>
      </c>
      <c r="D61" s="410">
        <f aca="true" t="shared" si="14" ref="D61:M61">D92*D$83</f>
        <v>24836757.742772195</v>
      </c>
      <c r="E61" s="410">
        <f t="shared" si="14"/>
        <v>21361603.665770326</v>
      </c>
      <c r="F61" s="410">
        <f t="shared" si="14"/>
        <v>21292475.9305251</v>
      </c>
      <c r="G61" s="410">
        <f t="shared" si="14"/>
        <v>21166533.38800958</v>
      </c>
      <c r="H61" s="410">
        <f t="shared" si="14"/>
        <v>24444276.436512273</v>
      </c>
      <c r="I61" s="410">
        <f t="shared" si="14"/>
        <v>20375399.51707575</v>
      </c>
      <c r="J61" s="410">
        <f t="shared" si="14"/>
        <v>22340211.664069925</v>
      </c>
      <c r="K61" s="410">
        <f t="shared" si="14"/>
        <v>18062782.38343791</v>
      </c>
      <c r="L61" s="410">
        <f t="shared" si="14"/>
        <v>22998957.0280608</v>
      </c>
      <c r="M61" s="410">
        <f t="shared" si="14"/>
        <v>23182626.30030764</v>
      </c>
      <c r="N61" s="410">
        <f t="shared" si="8"/>
        <v>267970640.87952366</v>
      </c>
    </row>
    <row r="62" spans="1:14" ht="12.75">
      <c r="A62" s="333" t="s">
        <v>53</v>
      </c>
      <c r="B62" s="410">
        <f t="shared" si="9"/>
        <v>38653277.42571855</v>
      </c>
      <c r="C62" s="410">
        <f t="shared" si="9"/>
        <v>40075894.29302658</v>
      </c>
      <c r="D62" s="410">
        <f aca="true" t="shared" si="15" ref="D62:M62">D93*D$83</f>
        <v>45036861.12672204</v>
      </c>
      <c r="E62" s="410">
        <f t="shared" si="15"/>
        <v>44424138.14589858</v>
      </c>
      <c r="F62" s="410">
        <f t="shared" si="15"/>
        <v>38938565.33295983</v>
      </c>
      <c r="G62" s="410">
        <f t="shared" si="15"/>
        <v>43187934.77027018</v>
      </c>
      <c r="H62" s="410">
        <f t="shared" si="15"/>
        <v>43642266.50424449</v>
      </c>
      <c r="I62" s="410">
        <f t="shared" si="15"/>
        <v>42966741.47941459</v>
      </c>
      <c r="J62" s="410">
        <f t="shared" si="15"/>
        <v>44956100.83976014</v>
      </c>
      <c r="K62" s="410">
        <f t="shared" si="15"/>
        <v>45280430.411966115</v>
      </c>
      <c r="L62" s="410">
        <f t="shared" si="15"/>
        <v>45506393.07264276</v>
      </c>
      <c r="M62" s="410">
        <f t="shared" si="15"/>
        <v>44818304.46356178</v>
      </c>
      <c r="N62" s="410">
        <f t="shared" si="8"/>
        <v>517486907.8661856</v>
      </c>
    </row>
    <row r="63" spans="1:14" ht="12.75">
      <c r="A63" s="333" t="s">
        <v>54</v>
      </c>
      <c r="B63" s="410">
        <f t="shared" si="9"/>
        <v>79203370.03546654</v>
      </c>
      <c r="C63" s="410">
        <f t="shared" si="9"/>
        <v>74375080.7887101</v>
      </c>
      <c r="D63" s="410">
        <f aca="true" t="shared" si="16" ref="D63:M63">D94*D$83</f>
        <v>79685910.11877681</v>
      </c>
      <c r="E63" s="410">
        <f t="shared" si="16"/>
        <v>78867943.85079437</v>
      </c>
      <c r="F63" s="410">
        <f t="shared" si="16"/>
        <v>77593234.32961425</v>
      </c>
      <c r="G63" s="410">
        <f t="shared" si="16"/>
        <v>80059755.41854677</v>
      </c>
      <c r="H63" s="410">
        <f t="shared" si="16"/>
        <v>80419723.28347683</v>
      </c>
      <c r="I63" s="410">
        <f t="shared" si="16"/>
        <v>84484222.57103124</v>
      </c>
      <c r="J63" s="410">
        <f t="shared" si="16"/>
        <v>84163289.96718258</v>
      </c>
      <c r="K63" s="410">
        <f t="shared" si="16"/>
        <v>83127716.19803752</v>
      </c>
      <c r="L63" s="410">
        <f t="shared" si="16"/>
        <v>82252117.76410963</v>
      </c>
      <c r="M63" s="410">
        <f t="shared" si="16"/>
        <v>69784852.32636596</v>
      </c>
      <c r="N63" s="410">
        <f t="shared" si="8"/>
        <v>954017216.6521126</v>
      </c>
    </row>
    <row r="64" spans="1:14" ht="12.75">
      <c r="A64" s="333" t="s">
        <v>58</v>
      </c>
      <c r="B64" s="410">
        <f t="shared" si="9"/>
        <v>160275663.52161372</v>
      </c>
      <c r="C64" s="410">
        <f t="shared" si="9"/>
        <v>144630430.50433335</v>
      </c>
      <c r="D64" s="410">
        <f aca="true" t="shared" si="17" ref="D64:M64">D95*D$83</f>
        <v>159876046.16401014</v>
      </c>
      <c r="E64" s="410">
        <f t="shared" si="17"/>
        <v>158694383.44053122</v>
      </c>
      <c r="F64" s="410">
        <f t="shared" si="17"/>
        <v>159334973.48874548</v>
      </c>
      <c r="G64" s="410">
        <f t="shared" si="17"/>
        <v>157498765.68247962</v>
      </c>
      <c r="H64" s="410">
        <f t="shared" si="17"/>
        <v>164376433.74144778</v>
      </c>
      <c r="I64" s="410">
        <f t="shared" si="17"/>
        <v>166976587.1285764</v>
      </c>
      <c r="J64" s="410">
        <f t="shared" si="17"/>
        <v>89933158.27018218</v>
      </c>
      <c r="K64" s="410">
        <f t="shared" si="17"/>
        <v>30949861.042346798</v>
      </c>
      <c r="L64" s="410">
        <f t="shared" si="17"/>
        <v>24460779.839108307</v>
      </c>
      <c r="M64" s="410">
        <f t="shared" si="17"/>
        <v>26929692.54856289</v>
      </c>
      <c r="N64" s="410">
        <f t="shared" si="8"/>
        <v>1443936775.3719378</v>
      </c>
    </row>
    <row r="65" spans="1:14" ht="12.75">
      <c r="A65" s="333" t="s">
        <v>55</v>
      </c>
      <c r="B65" s="410">
        <f t="shared" si="9"/>
        <v>20918022.70357783</v>
      </c>
      <c r="C65" s="410">
        <f t="shared" si="9"/>
        <v>19735901.05805662</v>
      </c>
      <c r="D65" s="410">
        <f aca="true" t="shared" si="18" ref="D65:M65">D96*D$83</f>
        <v>19998239.5021685</v>
      </c>
      <c r="E65" s="410">
        <f t="shared" si="18"/>
        <v>16480408.23208783</v>
      </c>
      <c r="F65" s="410">
        <f t="shared" si="18"/>
        <v>14301565.09612473</v>
      </c>
      <c r="G65" s="410">
        <f t="shared" si="18"/>
        <v>13086262.63705963</v>
      </c>
      <c r="H65" s="410">
        <f t="shared" si="18"/>
        <v>14079506.425299428</v>
      </c>
      <c r="I65" s="410">
        <f t="shared" si="18"/>
        <v>14349546.630307749</v>
      </c>
      <c r="J65" s="410">
        <f t="shared" si="18"/>
        <v>13606646.271446105</v>
      </c>
      <c r="K65" s="410">
        <f t="shared" si="18"/>
        <v>16242604.938454708</v>
      </c>
      <c r="L65" s="410">
        <f t="shared" si="18"/>
        <v>16727245.312360305</v>
      </c>
      <c r="M65" s="410">
        <f t="shared" si="18"/>
        <v>19576532.552046735</v>
      </c>
      <c r="N65" s="410">
        <f t="shared" si="8"/>
        <v>199102481.3589902</v>
      </c>
    </row>
    <row r="66" spans="1:14" ht="12.75">
      <c r="A66" s="333" t="s">
        <v>56</v>
      </c>
      <c r="B66" s="412">
        <f t="shared" si="9"/>
        <v>9852682.353643263</v>
      </c>
      <c r="C66" s="412">
        <f t="shared" si="9"/>
        <v>9918481.550152032</v>
      </c>
      <c r="D66" s="412">
        <f aca="true" t="shared" si="19" ref="D66:M66">D97*D$83</f>
        <v>11085923.841350332</v>
      </c>
      <c r="E66" s="412">
        <f t="shared" si="19"/>
        <v>10227846.74379002</v>
      </c>
      <c r="F66" s="412">
        <f t="shared" si="19"/>
        <v>10604400.176725376</v>
      </c>
      <c r="G66" s="412">
        <f t="shared" si="19"/>
        <v>9497119.770418834</v>
      </c>
      <c r="H66" s="412">
        <f t="shared" si="19"/>
        <v>10071841.939689552</v>
      </c>
      <c r="I66" s="412">
        <f t="shared" si="19"/>
        <v>10643497.51405962</v>
      </c>
      <c r="J66" s="412">
        <f t="shared" si="19"/>
        <v>10535323.477200236</v>
      </c>
      <c r="K66" s="412">
        <f t="shared" si="19"/>
        <v>10332036.63352935</v>
      </c>
      <c r="L66" s="412">
        <f t="shared" si="19"/>
        <v>11357268.386560176</v>
      </c>
      <c r="M66" s="412">
        <f t="shared" si="19"/>
        <v>10313354.912286784</v>
      </c>
      <c r="N66" s="412">
        <f t="shared" si="8"/>
        <v>124439777.29940557</v>
      </c>
    </row>
    <row r="67" spans="1:14" ht="12.75">
      <c r="A67" s="333" t="s">
        <v>47</v>
      </c>
      <c r="B67" s="414">
        <f aca="true" t="shared" si="20" ref="B67:M67">SUM(B57:B66)</f>
        <v>1216459269.6366508</v>
      </c>
      <c r="C67" s="414">
        <f t="shared" si="20"/>
        <v>1123680043.7701309</v>
      </c>
      <c r="D67" s="414">
        <f t="shared" si="20"/>
        <v>1143850811.7231543</v>
      </c>
      <c r="E67" s="414">
        <f t="shared" si="20"/>
        <v>986104445.0184232</v>
      </c>
      <c r="F67" s="414">
        <f t="shared" si="20"/>
        <v>919299436.3458033</v>
      </c>
      <c r="G67" s="414">
        <f t="shared" si="20"/>
        <v>863705777.8428555</v>
      </c>
      <c r="H67" s="414">
        <f t="shared" si="20"/>
        <v>888102019.4222083</v>
      </c>
      <c r="I67" s="414">
        <f t="shared" si="20"/>
        <v>894528172.5159905</v>
      </c>
      <c r="J67" s="414">
        <f t="shared" si="20"/>
        <v>796979351.4205941</v>
      </c>
      <c r="K67" s="414">
        <f t="shared" si="20"/>
        <v>806361116.1150763</v>
      </c>
      <c r="L67" s="414">
        <f t="shared" si="20"/>
        <v>860355009.9276922</v>
      </c>
      <c r="M67" s="414">
        <f t="shared" si="20"/>
        <v>978853730.3616174</v>
      </c>
      <c r="N67" s="410">
        <f t="shared" si="8"/>
        <v>11478279184.100197</v>
      </c>
    </row>
    <row r="69" ht="12.75">
      <c r="A69" s="317" t="s">
        <v>106</v>
      </c>
    </row>
    <row r="70" spans="1:14" ht="12.75">
      <c r="A70" s="313" t="s">
        <v>82</v>
      </c>
      <c r="B70" s="410">
        <f aca="true" t="shared" si="21" ref="B70:C74">B101*B$83</f>
        <v>15403404.662347052</v>
      </c>
      <c r="C70" s="410">
        <f t="shared" si="21"/>
        <v>12386290.303967642</v>
      </c>
      <c r="D70" s="410">
        <f aca="true" t="shared" si="22" ref="D70:M70">D101*D$83</f>
        <v>15457964.18137478</v>
      </c>
      <c r="E70" s="410">
        <f t="shared" si="22"/>
        <v>14734737.523488285</v>
      </c>
      <c r="F70" s="410">
        <f t="shared" si="22"/>
        <v>15312900.532102974</v>
      </c>
      <c r="G70" s="410">
        <f t="shared" si="22"/>
        <v>14623722.408600507</v>
      </c>
      <c r="H70" s="410">
        <f t="shared" si="22"/>
        <v>15797458.351004997</v>
      </c>
      <c r="I70" s="410">
        <f t="shared" si="22"/>
        <v>16047357.681870988</v>
      </c>
      <c r="J70" s="410">
        <f t="shared" si="22"/>
        <v>14663087.53143227</v>
      </c>
      <c r="K70" s="410">
        <f t="shared" si="22"/>
        <v>16164457.650961857</v>
      </c>
      <c r="L70" s="410">
        <f t="shared" si="22"/>
        <v>10412668.30814947</v>
      </c>
      <c r="M70" s="410">
        <f t="shared" si="22"/>
        <v>15769198.932020606</v>
      </c>
      <c r="N70" s="410">
        <f>SUM(B70:M70)</f>
        <v>176773248.0673214</v>
      </c>
    </row>
    <row r="71" spans="1:14" ht="12.75">
      <c r="A71" s="323" t="s">
        <v>33</v>
      </c>
      <c r="B71" s="410">
        <f t="shared" si="21"/>
        <v>-452994.81746291486</v>
      </c>
      <c r="C71" s="410">
        <f t="shared" si="21"/>
        <v>-211577.55005274917</v>
      </c>
      <c r="D71" s="410">
        <f aca="true" t="shared" si="23" ref="D71:M71">D102*D$83</f>
        <v>-205197.44107211108</v>
      </c>
      <c r="E71" s="410">
        <f t="shared" si="23"/>
        <v>98752.71081611843</v>
      </c>
      <c r="F71" s="410">
        <f t="shared" si="23"/>
        <v>1792937.015702249</v>
      </c>
      <c r="G71" s="410">
        <f t="shared" si="23"/>
        <v>-60686.5158429327</v>
      </c>
      <c r="H71" s="410">
        <f t="shared" si="23"/>
        <v>2053089.1516421519</v>
      </c>
      <c r="I71" s="410">
        <f t="shared" si="23"/>
        <v>1558928.9098489704</v>
      </c>
      <c r="J71" s="410">
        <f t="shared" si="23"/>
        <v>598767.3159994517</v>
      </c>
      <c r="K71" s="410">
        <f t="shared" si="23"/>
        <v>2865052.9508719267</v>
      </c>
      <c r="L71" s="410">
        <f t="shared" si="23"/>
        <v>10256727.771582982</v>
      </c>
      <c r="M71" s="410">
        <f t="shared" si="23"/>
        <v>-690715.5447351075</v>
      </c>
      <c r="N71" s="410">
        <f>SUM(B71:M71)</f>
        <v>17603083.957298037</v>
      </c>
    </row>
    <row r="72" spans="1:14" ht="12.75">
      <c r="A72" s="323" t="s">
        <v>32</v>
      </c>
      <c r="B72" s="410">
        <f t="shared" si="21"/>
        <v>15653866.526775466</v>
      </c>
      <c r="C72" s="410">
        <f t="shared" si="21"/>
        <v>15639255.434302581</v>
      </c>
      <c r="D72" s="410">
        <f aca="true" t="shared" si="24" ref="D72:M72">D103*D$83</f>
        <v>15752001.543520503</v>
      </c>
      <c r="E72" s="410">
        <f t="shared" si="24"/>
        <v>16016019.047269877</v>
      </c>
      <c r="F72" s="410">
        <f t="shared" si="24"/>
        <v>15561890.784657503</v>
      </c>
      <c r="G72" s="410">
        <f t="shared" si="24"/>
        <v>15895350.444130989</v>
      </c>
      <c r="H72" s="410">
        <f t="shared" si="24"/>
        <v>16054327.592484761</v>
      </c>
      <c r="I72" s="410">
        <f t="shared" si="24"/>
        <v>16308290.32710467</v>
      </c>
      <c r="J72" s="410">
        <f t="shared" si="24"/>
        <v>15938138.621122034</v>
      </c>
      <c r="K72" s="410">
        <f t="shared" si="24"/>
        <v>16427294.360733604</v>
      </c>
      <c r="L72" s="410">
        <f t="shared" si="24"/>
        <v>16029099.018121928</v>
      </c>
      <c r="M72" s="410">
        <f t="shared" si="24"/>
        <v>16465416.27979899</v>
      </c>
      <c r="N72" s="410">
        <f>SUM(B72:M72)</f>
        <v>191740949.9800229</v>
      </c>
    </row>
    <row r="73" spans="1:14" ht="12.75">
      <c r="A73" s="323" t="s">
        <v>119</v>
      </c>
      <c r="B73" s="410"/>
      <c r="C73" s="410"/>
      <c r="D73" s="410"/>
      <c r="E73" s="410"/>
      <c r="F73" s="410"/>
      <c r="G73" s="410"/>
      <c r="H73" s="410"/>
      <c r="I73" s="410"/>
      <c r="J73" s="410"/>
      <c r="K73" s="410"/>
      <c r="L73" s="410"/>
      <c r="M73" s="410"/>
      <c r="N73" s="410"/>
    </row>
    <row r="74" spans="1:14" ht="12.75">
      <c r="A74" s="333" t="s">
        <v>175</v>
      </c>
      <c r="B74" s="412">
        <f t="shared" si="21"/>
        <v>-1557597.0083106293</v>
      </c>
      <c r="C74" s="412">
        <f t="shared" si="21"/>
        <v>4820606.041651901</v>
      </c>
      <c r="D74" s="412">
        <f aca="true" t="shared" si="25" ref="D74:L74">D105*D$83</f>
        <v>9608825.993022477</v>
      </c>
      <c r="E74" s="412">
        <f t="shared" si="25"/>
        <v>13313622.700002514</v>
      </c>
      <c r="F74" s="412">
        <f t="shared" si="25"/>
        <v>16910657.321733844</v>
      </c>
      <c r="G74" s="412">
        <f t="shared" si="25"/>
        <v>468034.82025643665</v>
      </c>
      <c r="H74" s="412">
        <f t="shared" si="25"/>
        <v>17999169.482659888</v>
      </c>
      <c r="I74" s="412">
        <f t="shared" si="25"/>
        <v>2387259.5651851627</v>
      </c>
      <c r="J74" s="412">
        <f t="shared" si="25"/>
        <v>-3049725.889147924</v>
      </c>
      <c r="K74" s="412">
        <f t="shared" si="25"/>
        <v>-4114357.077644036</v>
      </c>
      <c r="L74" s="412">
        <f t="shared" si="25"/>
        <v>-4277818.025546443</v>
      </c>
      <c r="M74" s="412">
        <f>M105*M$83</f>
        <v>-9013216.028702518</v>
      </c>
      <c r="N74" s="410">
        <f>SUM(B74:M74)</f>
        <v>43495461.89516067</v>
      </c>
    </row>
    <row r="75" spans="1:14" ht="12.75">
      <c r="A75" s="323" t="s">
        <v>47</v>
      </c>
      <c r="B75" s="414">
        <f>SUM(B70:B74)</f>
        <v>29046679.363348972</v>
      </c>
      <c r="C75" s="414">
        <f aca="true" t="shared" si="26" ref="C75:M75">SUM(C70:C74)</f>
        <v>32634574.229869377</v>
      </c>
      <c r="D75" s="414">
        <f t="shared" si="26"/>
        <v>40613594.27684565</v>
      </c>
      <c r="E75" s="414">
        <f t="shared" si="26"/>
        <v>44163131.98157679</v>
      </c>
      <c r="F75" s="414">
        <f t="shared" si="26"/>
        <v>49578385.654196575</v>
      </c>
      <c r="G75" s="414">
        <f t="shared" si="26"/>
        <v>30926421.157145</v>
      </c>
      <c r="H75" s="414">
        <f t="shared" si="26"/>
        <v>51904044.577791795</v>
      </c>
      <c r="I75" s="414">
        <f t="shared" si="26"/>
        <v>36301836.48400979</v>
      </c>
      <c r="J75" s="414">
        <f t="shared" si="26"/>
        <v>28150267.579405833</v>
      </c>
      <c r="K75" s="414">
        <f t="shared" si="26"/>
        <v>31342447.884923354</v>
      </c>
      <c r="L75" s="414">
        <f t="shared" si="26"/>
        <v>32420677.072307933</v>
      </c>
      <c r="M75" s="414">
        <f t="shared" si="26"/>
        <v>22530683.638381973</v>
      </c>
      <c r="N75" s="410">
        <f>SUM(N70:N74)</f>
        <v>429612743.89980304</v>
      </c>
    </row>
    <row r="76" ht="12.75">
      <c r="N76" s="414">
        <f>SUM(B76:M76)</f>
        <v>0</v>
      </c>
    </row>
    <row r="77" spans="1:14" ht="12.75">
      <c r="A77" s="416" t="s">
        <v>107</v>
      </c>
      <c r="B77" s="410">
        <f>+'Data Inputs - 2011'!C48+'Data Inputs - 2011'!C49</f>
        <v>208000</v>
      </c>
      <c r="C77" s="410">
        <f>+'Data Inputs - 2011'!D48+'Data Inputs - 2011'!D49</f>
        <v>62000</v>
      </c>
      <c r="D77" s="410">
        <f>+'Data Inputs - 2011'!E48+'Data Inputs - 2011'!E49</f>
        <v>361000</v>
      </c>
      <c r="E77" s="410">
        <f>+'Data Inputs - 2011'!F48+'Data Inputs - 2011'!F49</f>
        <v>52000</v>
      </c>
      <c r="F77" s="410">
        <f>+'Data Inputs - 2011'!G48+'Data Inputs - 2011'!G49</f>
        <v>180000</v>
      </c>
      <c r="G77" s="410">
        <f>+'Data Inputs - 2011'!H48+'Data Inputs - 2011'!H49</f>
        <v>0</v>
      </c>
      <c r="H77" s="410">
        <f>+'Data Inputs - 2011'!I48+'Data Inputs - 2011'!I49</f>
        <v>1102000</v>
      </c>
      <c r="I77" s="410">
        <f>+'Data Inputs - 2011'!J48+'Data Inputs - 2011'!J49</f>
        <v>1263000</v>
      </c>
      <c r="J77" s="410">
        <f>+'Data Inputs - 2011'!K48+'Data Inputs - 2011'!K49</f>
        <v>285000</v>
      </c>
      <c r="K77" s="410">
        <f>+'Data Inputs - 2011'!L48+'Data Inputs - 2011'!L49</f>
        <v>996000</v>
      </c>
      <c r="L77" s="410">
        <f>+'Data Inputs - 2011'!M48+'Data Inputs - 2011'!M49</f>
        <v>3217000</v>
      </c>
      <c r="M77" s="410">
        <f>+'Data Inputs - 2011'!N48+'Data Inputs - 2011'!N49</f>
        <v>1465000</v>
      </c>
      <c r="N77" s="410">
        <f>SUM(B77:M77)</f>
        <v>9191000</v>
      </c>
    </row>
    <row r="78" spans="2:14" ht="12.75">
      <c r="B78" s="410"/>
      <c r="C78" s="410"/>
      <c r="D78" s="410"/>
      <c r="E78" s="410"/>
      <c r="F78" s="410"/>
      <c r="G78" s="410"/>
      <c r="H78" s="410"/>
      <c r="I78" s="410"/>
      <c r="J78" s="410"/>
      <c r="K78" s="410"/>
      <c r="L78" s="410"/>
      <c r="M78" s="410"/>
      <c r="N78" s="410"/>
    </row>
    <row r="79" spans="1:14" ht="12.75">
      <c r="A79" s="313" t="s">
        <v>180</v>
      </c>
      <c r="B79" s="410">
        <f>+B67+B75</f>
        <v>1245505948.9999998</v>
      </c>
      <c r="C79" s="410">
        <f aca="true" t="shared" si="27" ref="C79:L79">+C67+C75</f>
        <v>1156314618.0000002</v>
      </c>
      <c r="D79" s="410">
        <f t="shared" si="27"/>
        <v>1184464406</v>
      </c>
      <c r="E79" s="410">
        <f t="shared" si="27"/>
        <v>1030267577</v>
      </c>
      <c r="F79" s="410">
        <f t="shared" si="27"/>
        <v>968877821.9999999</v>
      </c>
      <c r="G79" s="410">
        <f t="shared" si="27"/>
        <v>894632199.0000005</v>
      </c>
      <c r="H79" s="410">
        <f t="shared" si="27"/>
        <v>940006064.0000001</v>
      </c>
      <c r="I79" s="410">
        <f t="shared" si="27"/>
        <v>930830009.0000002</v>
      </c>
      <c r="J79" s="410">
        <f t="shared" si="27"/>
        <v>825129618.9999999</v>
      </c>
      <c r="K79" s="410">
        <f t="shared" si="27"/>
        <v>837703563.9999996</v>
      </c>
      <c r="L79" s="410">
        <f t="shared" si="27"/>
        <v>892775687.0000001</v>
      </c>
      <c r="M79" s="410">
        <f>+M67+M75</f>
        <v>1001384413.9999994</v>
      </c>
      <c r="N79" s="410">
        <f>SUM(B79:M79)</f>
        <v>11907891928</v>
      </c>
    </row>
    <row r="80" spans="2:14" ht="12.75">
      <c r="B80" s="410">
        <f>B79-B82</f>
        <v>0</v>
      </c>
      <c r="C80" s="410">
        <f aca="true" t="shared" si="28" ref="C80:N80">C79-C82</f>
        <v>0</v>
      </c>
      <c r="D80" s="410">
        <f t="shared" si="28"/>
        <v>0</v>
      </c>
      <c r="E80" s="410">
        <f t="shared" si="28"/>
        <v>0</v>
      </c>
      <c r="F80" s="410">
        <f t="shared" si="28"/>
        <v>0</v>
      </c>
      <c r="G80" s="410">
        <f t="shared" si="28"/>
        <v>0</v>
      </c>
      <c r="H80" s="410">
        <f t="shared" si="28"/>
        <v>0</v>
      </c>
      <c r="I80" s="410">
        <f t="shared" si="28"/>
        <v>0</v>
      </c>
      <c r="J80" s="410">
        <f t="shared" si="28"/>
        <v>0</v>
      </c>
      <c r="K80" s="410">
        <f t="shared" si="28"/>
        <v>0</v>
      </c>
      <c r="L80" s="410">
        <f t="shared" si="28"/>
        <v>0</v>
      </c>
      <c r="M80" s="410">
        <f t="shared" si="28"/>
        <v>0</v>
      </c>
      <c r="N80" s="410">
        <f t="shared" si="28"/>
        <v>0</v>
      </c>
    </row>
    <row r="81" spans="1:14" ht="12.75">
      <c r="A81" s="313" t="s">
        <v>181</v>
      </c>
      <c r="B81" s="410">
        <f>+B108</f>
        <v>1278719204.863885</v>
      </c>
      <c r="C81" s="410">
        <f aca="true" t="shared" si="29" ref="C81:L81">+C108</f>
        <v>1188258558.620577</v>
      </c>
      <c r="D81" s="410">
        <f t="shared" si="29"/>
        <v>1208473904.4466453</v>
      </c>
      <c r="E81" s="410">
        <f t="shared" si="29"/>
        <v>1033823652.517607</v>
      </c>
      <c r="F81" s="410">
        <f t="shared" si="29"/>
        <v>1000593459.7651983</v>
      </c>
      <c r="G81" s="410">
        <f t="shared" si="29"/>
        <v>904535103.5401322</v>
      </c>
      <c r="H81" s="410">
        <f t="shared" si="29"/>
        <v>940999825.0836147</v>
      </c>
      <c r="I81" s="410">
        <f t="shared" si="29"/>
        <v>917303287.0759301</v>
      </c>
      <c r="J81" s="410">
        <f t="shared" si="29"/>
        <v>832023485.3686539</v>
      </c>
      <c r="K81" s="410">
        <f t="shared" si="29"/>
        <v>819549768.3595402</v>
      </c>
      <c r="L81" s="410">
        <f t="shared" si="29"/>
        <v>883108511.598946</v>
      </c>
      <c r="M81" s="410">
        <f>+M108</f>
        <v>990537708.1841247</v>
      </c>
      <c r="N81" s="410">
        <f>SUM(B81:M81)</f>
        <v>11997926469.424854</v>
      </c>
    </row>
    <row r="82" spans="1:14" ht="12.75">
      <c r="A82" s="313" t="s">
        <v>182</v>
      </c>
      <c r="B82" s="410">
        <f>+'Data Inputs - 2011'!C51</f>
        <v>1245505949</v>
      </c>
      <c r="C82" s="410">
        <f>+'Data Inputs - 2011'!D51</f>
        <v>1156314618.0000002</v>
      </c>
      <c r="D82" s="410">
        <f>+'Data Inputs - 2011'!E51</f>
        <v>1184464405.9999998</v>
      </c>
      <c r="E82" s="410">
        <f>+'Data Inputs - 2011'!F51</f>
        <v>1030267577.0000001</v>
      </c>
      <c r="F82" s="410">
        <f>+'Data Inputs - 2011'!G51</f>
        <v>968877822</v>
      </c>
      <c r="G82" s="410">
        <f>+'Data Inputs - 2011'!H51</f>
        <v>894632199.0000002</v>
      </c>
      <c r="H82" s="410">
        <f>+'Data Inputs - 2011'!I51</f>
        <v>940006064.0000001</v>
      </c>
      <c r="I82" s="410">
        <f>+'Data Inputs - 2011'!J51</f>
        <v>930830009.0000001</v>
      </c>
      <c r="J82" s="410">
        <f>+'Data Inputs - 2011'!K51</f>
        <v>825129619</v>
      </c>
      <c r="K82" s="410">
        <f>+'Data Inputs - 2011'!L51</f>
        <v>837703564</v>
      </c>
      <c r="L82" s="410">
        <f>+'Data Inputs - 2011'!M51</f>
        <v>892775687.0000001</v>
      </c>
      <c r="M82" s="410">
        <f>+'Data Inputs - 2011'!N51</f>
        <v>1001384413.9999998</v>
      </c>
      <c r="N82" s="410">
        <f>SUM(B82:M82)</f>
        <v>11907891928</v>
      </c>
    </row>
    <row r="83" spans="1:14" ht="12.75">
      <c r="A83" s="317" t="s">
        <v>183</v>
      </c>
      <c r="B83" s="426">
        <f>+B82/B81</f>
        <v>0.9740261538752596</v>
      </c>
      <c r="C83" s="426">
        <f aca="true" t="shared" si="30" ref="C83:N83">+C82/C81</f>
        <v>0.973117011959367</v>
      </c>
      <c r="D83" s="426">
        <f t="shared" si="30"/>
        <v>0.9801323815447721</v>
      </c>
      <c r="E83" s="426">
        <f t="shared" si="30"/>
        <v>0.9965602687567198</v>
      </c>
      <c r="F83" s="426">
        <f t="shared" si="30"/>
        <v>0.968303173026295</v>
      </c>
      <c r="G83" s="426">
        <f t="shared" si="30"/>
        <v>0.989051940050337</v>
      </c>
      <c r="H83" s="426">
        <f t="shared" si="30"/>
        <v>0.9989439306393854</v>
      </c>
      <c r="I83" s="426">
        <f t="shared" si="30"/>
        <v>1.0147461827670856</v>
      </c>
      <c r="J83" s="426">
        <f t="shared" si="30"/>
        <v>0.9917143368067317</v>
      </c>
      <c r="K83" s="426">
        <f>+K82/K81</f>
        <v>1.0221509374309232</v>
      </c>
      <c r="L83" s="426">
        <f t="shared" si="30"/>
        <v>1.0109467582681892</v>
      </c>
      <c r="M83" s="426">
        <f>+M82/M81</f>
        <v>1.010950320948164</v>
      </c>
      <c r="N83" s="427">
        <f t="shared" si="30"/>
        <v>0.992495824869881</v>
      </c>
    </row>
    <row r="84" ht="12.75">
      <c r="E84" s="331"/>
    </row>
    <row r="85" ht="12.75">
      <c r="A85" s="311" t="s">
        <v>62</v>
      </c>
    </row>
    <row r="86" spans="1:17" ht="12.75">
      <c r="A86" s="333" t="s">
        <v>103</v>
      </c>
      <c r="B86" s="410">
        <f aca="true" t="shared" si="31" ref="B86:L86">+B5*(1+B34)</f>
        <v>553330970.2597706</v>
      </c>
      <c r="C86" s="410">
        <f t="shared" si="31"/>
        <v>502071845.1279565</v>
      </c>
      <c r="D86" s="410">
        <f t="shared" si="31"/>
        <v>481190141.2706748</v>
      </c>
      <c r="E86" s="410">
        <f t="shared" si="31"/>
        <v>375148224.4041769</v>
      </c>
      <c r="F86" s="410">
        <f t="shared" si="31"/>
        <v>344377665.8010295</v>
      </c>
      <c r="G86" s="410">
        <f t="shared" si="31"/>
        <v>283056272.4865903</v>
      </c>
      <c r="H86" s="410">
        <f t="shared" si="31"/>
        <v>277017187.7201538</v>
      </c>
      <c r="I86" s="410">
        <f t="shared" si="31"/>
        <v>276799119.07218194</v>
      </c>
      <c r="J86" s="410">
        <f t="shared" si="31"/>
        <v>277399814.56628895</v>
      </c>
      <c r="K86" s="410">
        <f t="shared" si="31"/>
        <v>310740679.4591741</v>
      </c>
      <c r="L86" s="410">
        <f t="shared" si="31"/>
        <v>366036807.3775725</v>
      </c>
      <c r="M86" s="410">
        <f>+M5*(1+M34)</f>
        <v>452681273.7340858</v>
      </c>
      <c r="N86" s="410">
        <f>SUM(B86:M86)</f>
        <v>4499850001.279655</v>
      </c>
      <c r="Q86" s="331"/>
    </row>
    <row r="87" spans="1:14" ht="12.75">
      <c r="A87" s="333" t="s">
        <v>104</v>
      </c>
      <c r="B87" s="412">
        <f aca="true" t="shared" si="32" ref="B87:M87">+B6*(1+B35)</f>
        <v>28119512.665754903</v>
      </c>
      <c r="C87" s="412">
        <f t="shared" si="32"/>
        <v>26858297.70403663</v>
      </c>
      <c r="D87" s="412">
        <f t="shared" si="32"/>
        <v>26474757.028366696</v>
      </c>
      <c r="E87" s="412">
        <f t="shared" si="32"/>
        <v>21140526.137737025</v>
      </c>
      <c r="F87" s="412">
        <f t="shared" si="32"/>
        <v>14611559.42822758</v>
      </c>
      <c r="G87" s="412">
        <f t="shared" si="32"/>
        <v>9830888.295533517</v>
      </c>
      <c r="H87" s="412">
        <f t="shared" si="32"/>
        <v>7831911.797736714</v>
      </c>
      <c r="I87" s="412">
        <f t="shared" si="32"/>
        <v>8088092.03972099</v>
      </c>
      <c r="J87" s="412">
        <f t="shared" si="32"/>
        <v>8963113.681524819</v>
      </c>
      <c r="K87" s="412">
        <f t="shared" si="32"/>
        <v>12339372.299144113</v>
      </c>
      <c r="L87" s="412">
        <f t="shared" si="32"/>
        <v>19655987.89931006</v>
      </c>
      <c r="M87" s="412">
        <f t="shared" si="32"/>
        <v>30503119.012473077</v>
      </c>
      <c r="N87" s="412">
        <f>SUM(B87:M87)</f>
        <v>214417137.98956612</v>
      </c>
    </row>
    <row r="88" spans="1:14" ht="12.75">
      <c r="A88" s="333" t="s">
        <v>105</v>
      </c>
      <c r="B88" s="410">
        <f aca="true" t="shared" si="33" ref="B88:B95">+B7*(1+B36)</f>
        <v>581511041.2163528</v>
      </c>
      <c r="C88" s="410">
        <f aca="true" t="shared" si="34" ref="C88:M88">+C7*(1+C36)</f>
        <v>528942855.9854262</v>
      </c>
      <c r="D88" s="410">
        <f t="shared" si="34"/>
        <v>507659433.01214963</v>
      </c>
      <c r="E88" s="410">
        <f t="shared" si="34"/>
        <v>396282221.8781208</v>
      </c>
      <c r="F88" s="410">
        <f t="shared" si="34"/>
        <v>358984793.96624684</v>
      </c>
      <c r="G88" s="410">
        <f t="shared" si="34"/>
        <v>292887478.8484036</v>
      </c>
      <c r="H88" s="410">
        <f t="shared" si="34"/>
        <v>284847850.21260744</v>
      </c>
      <c r="I88" s="410">
        <f t="shared" si="34"/>
        <v>284885535.7377126</v>
      </c>
      <c r="J88" s="410">
        <f t="shared" si="34"/>
        <v>286363535.4046725</v>
      </c>
      <c r="K88" s="410">
        <f t="shared" si="34"/>
        <v>323077323.94559807</v>
      </c>
      <c r="L88" s="410">
        <f t="shared" si="34"/>
        <v>385681570.8813823</v>
      </c>
      <c r="M88" s="410">
        <f t="shared" si="34"/>
        <v>483184870.39290476</v>
      </c>
      <c r="N88" s="410">
        <f>SUM(N86:N87)</f>
        <v>4714267139.269221</v>
      </c>
    </row>
    <row r="89" spans="1:14" ht="12.75">
      <c r="A89" s="333" t="s">
        <v>49</v>
      </c>
      <c r="B89" s="410">
        <f t="shared" si="33"/>
        <v>27956307.21573742</v>
      </c>
      <c r="C89" s="410">
        <f aca="true" t="shared" si="35" ref="C89:M89">+C8*(1+C37)</f>
        <v>26756022.542398266</v>
      </c>
      <c r="D89" s="410">
        <f t="shared" si="35"/>
        <v>27456140.21870735</v>
      </c>
      <c r="E89" s="410">
        <f t="shared" si="35"/>
        <v>21573974.573444128</v>
      </c>
      <c r="F89" s="410">
        <f t="shared" si="35"/>
        <v>21345308.319831267</v>
      </c>
      <c r="G89" s="410">
        <f t="shared" si="35"/>
        <v>18178138.830957036</v>
      </c>
      <c r="H89" s="410">
        <f t="shared" si="35"/>
        <v>18933162.576825112</v>
      </c>
      <c r="I89" s="410">
        <f t="shared" si="35"/>
        <v>18941907.726740945</v>
      </c>
      <c r="J89" s="410">
        <f t="shared" si="35"/>
        <v>19050006.425687134</v>
      </c>
      <c r="K89" s="410">
        <f t="shared" si="35"/>
        <v>19465656.868101943</v>
      </c>
      <c r="L89" s="410">
        <f t="shared" si="35"/>
        <v>19371284.56218965</v>
      </c>
      <c r="M89" s="410">
        <f t="shared" si="35"/>
        <v>22554855.784055002</v>
      </c>
      <c r="N89" s="410">
        <f>SUM(B89:M89)</f>
        <v>261582765.64467525</v>
      </c>
    </row>
    <row r="90" spans="1:14" ht="12.75">
      <c r="A90" s="333" t="s">
        <v>50</v>
      </c>
      <c r="B90" s="410">
        <f t="shared" si="33"/>
        <v>259014702.34138307</v>
      </c>
      <c r="C90" s="410">
        <f aca="true" t="shared" si="36" ref="C90:M90">+C9*(1+C38)</f>
        <v>245524123.1094577</v>
      </c>
      <c r="D90" s="410">
        <f t="shared" si="36"/>
        <v>244643929.66472575</v>
      </c>
      <c r="E90" s="410">
        <f t="shared" si="36"/>
        <v>205939427.99084425</v>
      </c>
      <c r="F90" s="410">
        <f t="shared" si="36"/>
        <v>201133162.3097019</v>
      </c>
      <c r="G90" s="410">
        <f t="shared" si="36"/>
        <v>199269063.4834231</v>
      </c>
      <c r="H90" s="410">
        <f t="shared" si="36"/>
        <v>207544875.6607996</v>
      </c>
      <c r="I90" s="410">
        <f t="shared" si="36"/>
        <v>201769303.81129786</v>
      </c>
      <c r="J90" s="410">
        <f t="shared" si="36"/>
        <v>192630105.71154243</v>
      </c>
      <c r="K90" s="410">
        <f t="shared" si="36"/>
        <v>209445561.60255688</v>
      </c>
      <c r="L90" s="410">
        <f t="shared" si="36"/>
        <v>209798720.41717124</v>
      </c>
      <c r="M90" s="410">
        <f t="shared" si="36"/>
        <v>234394120.1353903</v>
      </c>
      <c r="N90" s="410">
        <f>SUM(B90:M90)</f>
        <v>2611107096.2382936</v>
      </c>
    </row>
    <row r="91" spans="1:14" ht="12.75">
      <c r="A91" s="333" t="s">
        <v>51</v>
      </c>
      <c r="B91" s="410">
        <f t="shared" si="33"/>
        <v>37757950.17092748</v>
      </c>
      <c r="C91" s="410">
        <f aca="true" t="shared" si="37" ref="C91:L91">+C10*(1+C39)</f>
        <v>33096016.285318375</v>
      </c>
      <c r="D91" s="410">
        <f t="shared" si="37"/>
        <v>39855365.82371847</v>
      </c>
      <c r="E91" s="410">
        <f t="shared" si="37"/>
        <v>34516914.70589326</v>
      </c>
      <c r="F91" s="410">
        <f t="shared" si="37"/>
        <v>35321063.52382869</v>
      </c>
      <c r="G91" s="410">
        <f t="shared" si="37"/>
        <v>34843366.967457056</v>
      </c>
      <c r="H91" s="410">
        <f t="shared" si="37"/>
        <v>40324663.88739584</v>
      </c>
      <c r="I91" s="410">
        <f t="shared" si="37"/>
        <v>41074121.85020088</v>
      </c>
      <c r="J91" s="410">
        <f t="shared" si="37"/>
        <v>37841134.20076883</v>
      </c>
      <c r="K91" s="410">
        <f t="shared" si="37"/>
        <v>37323331.641493805</v>
      </c>
      <c r="L91" s="410">
        <f t="shared" si="37"/>
        <v>35085963.53096422</v>
      </c>
      <c r="M91" s="410">
        <f>+M10*(1+M39)</f>
        <v>35619769.872215815</v>
      </c>
      <c r="N91" s="410">
        <f>SUM(B91:M91)</f>
        <v>442659662.46018267</v>
      </c>
    </row>
    <row r="92" spans="1:14" ht="12.75">
      <c r="A92" s="333" t="s">
        <v>52</v>
      </c>
      <c r="B92" s="410">
        <f t="shared" si="33"/>
        <v>25517580.703513328</v>
      </c>
      <c r="C92" s="410">
        <f aca="true" t="shared" si="38" ref="C92:M92">+C11*(1+C40)</f>
        <v>23691113.762072656</v>
      </c>
      <c r="D92" s="410">
        <f t="shared" si="38"/>
        <v>25340207.313248187</v>
      </c>
      <c r="E92" s="410">
        <f t="shared" si="38"/>
        <v>21435335.458858352</v>
      </c>
      <c r="F92" s="410">
        <f t="shared" si="38"/>
        <v>21989472.43349257</v>
      </c>
      <c r="G92" s="410">
        <f t="shared" si="38"/>
        <v>21400830.968424495</v>
      </c>
      <c r="H92" s="410">
        <f t="shared" si="38"/>
        <v>24470118.578994155</v>
      </c>
      <c r="I92" s="410">
        <f t="shared" si="38"/>
        <v>20079306.395136755</v>
      </c>
      <c r="J92" s="410">
        <f t="shared" si="38"/>
        <v>22526861.65252409</v>
      </c>
      <c r="K92" s="410">
        <f t="shared" si="38"/>
        <v>17671345.514623262</v>
      </c>
      <c r="L92" s="410">
        <f t="shared" si="38"/>
        <v>22749919.162369497</v>
      </c>
      <c r="M92" s="410">
        <f t="shared" si="38"/>
        <v>22931518.809514593</v>
      </c>
      <c r="N92" s="410">
        <f>SUM(B92:M92)</f>
        <v>269803610.7527719</v>
      </c>
    </row>
    <row r="93" spans="1:14" ht="12.75">
      <c r="A93" s="333" t="s">
        <v>53</v>
      </c>
      <c r="B93" s="410">
        <f t="shared" si="33"/>
        <v>39684024.162937164</v>
      </c>
      <c r="C93" s="410">
        <f aca="true" t="shared" si="39" ref="C93:L93">+C12*(1+C41)</f>
        <v>41183016.84227464</v>
      </c>
      <c r="D93" s="410">
        <f t="shared" si="39"/>
        <v>45949773.6986713</v>
      </c>
      <c r="E93" s="410">
        <f t="shared" si="39"/>
        <v>44577472.67139284</v>
      </c>
      <c r="F93" s="410">
        <f t="shared" si="39"/>
        <v>40213196.05022344</v>
      </c>
      <c r="G93" s="410">
        <f t="shared" si="39"/>
        <v>43665992.6758469</v>
      </c>
      <c r="H93" s="410">
        <f t="shared" si="39"/>
        <v>43688404.48964014</v>
      </c>
      <c r="I93" s="410">
        <f t="shared" si="39"/>
        <v>42342353.397427596</v>
      </c>
      <c r="J93" s="410">
        <f t="shared" si="39"/>
        <v>45331704.07167495</v>
      </c>
      <c r="K93" s="410">
        <f t="shared" si="39"/>
        <v>44299162.43659089</v>
      </c>
      <c r="L93" s="410">
        <f t="shared" si="39"/>
        <v>45013639.64072437</v>
      </c>
      <c r="M93" s="410">
        <f>+M12*(1+M41)</f>
        <v>44332845.57595963</v>
      </c>
      <c r="N93" s="410">
        <f aca="true" t="shared" si="40" ref="N93:N110">SUM(B93:M93)</f>
        <v>520281585.7133639</v>
      </c>
    </row>
    <row r="94" spans="1:14" ht="12.75">
      <c r="A94" s="333" t="s">
        <v>54</v>
      </c>
      <c r="B94" s="410">
        <f t="shared" si="33"/>
        <v>81315444.88856699</v>
      </c>
      <c r="C94" s="410">
        <f aca="true" t="shared" si="41" ref="C94:M94">+C13*(1+C42)</f>
        <v>76429740.59096572</v>
      </c>
      <c r="D94" s="410">
        <f t="shared" si="41"/>
        <v>81301170.75938766</v>
      </c>
      <c r="E94" s="410">
        <f t="shared" si="41"/>
        <v>79140164.74807668</v>
      </c>
      <c r="F94" s="410">
        <f t="shared" si="41"/>
        <v>80133202.58685876</v>
      </c>
      <c r="G94" s="410">
        <f t="shared" si="41"/>
        <v>80945956.60413161</v>
      </c>
      <c r="H94" s="410">
        <f t="shared" si="41"/>
        <v>80504741.87475495</v>
      </c>
      <c r="I94" s="410">
        <f t="shared" si="41"/>
        <v>83256506.90368044</v>
      </c>
      <c r="J94" s="410">
        <f t="shared" si="41"/>
        <v>84866464.91184545</v>
      </c>
      <c r="K94" s="410">
        <f t="shared" si="41"/>
        <v>81326263.22974466</v>
      </c>
      <c r="L94" s="410">
        <f t="shared" si="41"/>
        <v>81361473.38264608</v>
      </c>
      <c r="M94" s="410">
        <f t="shared" si="41"/>
        <v>69028963.02650677</v>
      </c>
      <c r="N94" s="410">
        <f t="shared" si="40"/>
        <v>959610093.5071658</v>
      </c>
    </row>
    <row r="95" spans="1:14" ht="12.75">
      <c r="A95" s="333" t="s">
        <v>58</v>
      </c>
      <c r="B95" s="410">
        <f t="shared" si="33"/>
        <v>164549650.8322093</v>
      </c>
      <c r="C95" s="410">
        <f aca="true" t="shared" si="42" ref="C95:M95">+C14*(1+C43)</f>
        <v>148625939.86834183</v>
      </c>
      <c r="D95" s="410">
        <f t="shared" si="42"/>
        <v>163116788.27714258</v>
      </c>
      <c r="E95" s="410">
        <f t="shared" si="42"/>
        <v>159242133.5826621</v>
      </c>
      <c r="F95" s="410">
        <f t="shared" si="42"/>
        <v>164550708.8350919</v>
      </c>
      <c r="G95" s="410">
        <f t="shared" si="42"/>
        <v>159242158.37892583</v>
      </c>
      <c r="H95" s="410">
        <f t="shared" si="42"/>
        <v>164550210.1766981</v>
      </c>
      <c r="I95" s="410">
        <f t="shared" si="42"/>
        <v>164550101.2610387</v>
      </c>
      <c r="J95" s="410">
        <f t="shared" si="42"/>
        <v>90684539.82400037</v>
      </c>
      <c r="K95" s="410">
        <f t="shared" si="42"/>
        <v>30279149.496390678</v>
      </c>
      <c r="L95" s="410">
        <f t="shared" si="42"/>
        <v>24195913.02811144</v>
      </c>
      <c r="M95" s="410">
        <f t="shared" si="42"/>
        <v>26637997.921901543</v>
      </c>
      <c r="N95" s="410">
        <f t="shared" si="40"/>
        <v>1460225291.4825144</v>
      </c>
    </row>
    <row r="96" spans="1:14" ht="12.75">
      <c r="A96" s="333" t="s">
        <v>55</v>
      </c>
      <c r="B96" s="410">
        <f aca="true" t="shared" si="43" ref="B96:M96">+B15*(1+B44)</f>
        <v>21475832.67692906</v>
      </c>
      <c r="C96" s="410">
        <f t="shared" si="43"/>
        <v>20281118.11375948</v>
      </c>
      <c r="D96" s="410">
        <f t="shared" si="43"/>
        <v>20403610.65374615</v>
      </c>
      <c r="E96" s="410">
        <f t="shared" si="43"/>
        <v>16537292.0723082</v>
      </c>
      <c r="F96" s="410">
        <f t="shared" si="43"/>
        <v>14769718.301580284</v>
      </c>
      <c r="G96" s="410">
        <f t="shared" si="43"/>
        <v>13231117.706915995</v>
      </c>
      <c r="H96" s="410">
        <f t="shared" si="43"/>
        <v>14094391.079875406</v>
      </c>
      <c r="I96" s="410">
        <f t="shared" si="43"/>
        <v>14141020.556666037</v>
      </c>
      <c r="J96" s="410">
        <f t="shared" si="43"/>
        <v>13720328.290562779</v>
      </c>
      <c r="K96" s="410">
        <f t="shared" si="43"/>
        <v>15890612.964929536</v>
      </c>
      <c r="L96" s="410">
        <f t="shared" si="43"/>
        <v>16546118.947960278</v>
      </c>
      <c r="M96" s="410">
        <f t="shared" si="43"/>
        <v>19364485.223849602</v>
      </c>
      <c r="N96" s="410">
        <f t="shared" si="40"/>
        <v>200455646.5890828</v>
      </c>
    </row>
    <row r="97" spans="1:14" ht="12.75">
      <c r="A97" s="333" t="s">
        <v>56</v>
      </c>
      <c r="B97" s="412">
        <f aca="true" t="shared" si="44" ref="B97:M97">+B16*(1+B45)</f>
        <v>10115418.681976238</v>
      </c>
      <c r="C97" s="412">
        <f t="shared" si="44"/>
        <v>10192486.03020639</v>
      </c>
      <c r="D97" s="412">
        <f t="shared" si="44"/>
        <v>11310639.307598399</v>
      </c>
      <c r="E97" s="412">
        <f t="shared" si="44"/>
        <v>10263149.218812415</v>
      </c>
      <c r="F97" s="412">
        <f t="shared" si="44"/>
        <v>10951528.893149054</v>
      </c>
      <c r="G97" s="412">
        <f t="shared" si="44"/>
        <v>9602245.732347975</v>
      </c>
      <c r="H97" s="412">
        <f t="shared" si="44"/>
        <v>10082489.748191329</v>
      </c>
      <c r="I97" s="412">
        <f t="shared" si="44"/>
        <v>10488827.348959457</v>
      </c>
      <c r="J97" s="412">
        <f t="shared" si="44"/>
        <v>10623344.935320212</v>
      </c>
      <c r="K97" s="412">
        <f t="shared" si="44"/>
        <v>10108132.03331586</v>
      </c>
      <c r="L97" s="412">
        <f t="shared" si="44"/>
        <v>11234289.336874515</v>
      </c>
      <c r="M97" s="412">
        <f t="shared" si="44"/>
        <v>10201643.640227497</v>
      </c>
      <c r="N97" s="410">
        <f t="shared" si="40"/>
        <v>125174194.90697935</v>
      </c>
    </row>
    <row r="98" spans="1:14" ht="12.75">
      <c r="A98" s="333" t="s">
        <v>47</v>
      </c>
      <c r="B98" s="414">
        <f aca="true" t="shared" si="45" ref="B98:M98">SUM(B88:B97)</f>
        <v>1248897952.890533</v>
      </c>
      <c r="C98" s="414">
        <f t="shared" si="45"/>
        <v>1154722433.1302214</v>
      </c>
      <c r="D98" s="414">
        <f t="shared" si="45"/>
        <v>1167037058.7290952</v>
      </c>
      <c r="E98" s="414">
        <f t="shared" si="45"/>
        <v>989508086.900413</v>
      </c>
      <c r="F98" s="414">
        <f t="shared" si="45"/>
        <v>949392155.2200048</v>
      </c>
      <c r="G98" s="414">
        <f t="shared" si="45"/>
        <v>873266350.1968335</v>
      </c>
      <c r="H98" s="414">
        <f t="shared" si="45"/>
        <v>889040908.285782</v>
      </c>
      <c r="I98" s="414">
        <f t="shared" si="45"/>
        <v>881528984.9888612</v>
      </c>
      <c r="J98" s="414">
        <f t="shared" si="45"/>
        <v>803638025.4285988</v>
      </c>
      <c r="K98" s="414">
        <f t="shared" si="45"/>
        <v>788886539.7333457</v>
      </c>
      <c r="L98" s="414">
        <f t="shared" si="45"/>
        <v>851038892.8903936</v>
      </c>
      <c r="M98" s="414">
        <f t="shared" si="45"/>
        <v>968251070.3825257</v>
      </c>
      <c r="N98" s="410">
        <f t="shared" si="40"/>
        <v>11565208458.77661</v>
      </c>
    </row>
    <row r="99" ht="12.75">
      <c r="N99" s="410"/>
    </row>
    <row r="100" spans="1:14" ht="12.75">
      <c r="A100" s="317" t="s">
        <v>106</v>
      </c>
      <c r="N100" s="410">
        <f t="shared" si="40"/>
        <v>0</v>
      </c>
    </row>
    <row r="101" spans="1:14" ht="12.75">
      <c r="A101" s="313" t="s">
        <v>82</v>
      </c>
      <c r="B101" s="410">
        <f>+B20*(1+B48)</f>
        <v>15814159.2</v>
      </c>
      <c r="C101" s="410">
        <f aca="true" t="shared" si="46" ref="C101:M101">+C20*(1+C48)</f>
        <v>12728469.600000003</v>
      </c>
      <c r="D101" s="410">
        <f t="shared" si="46"/>
        <v>15771302.4</v>
      </c>
      <c r="E101" s="410">
        <f t="shared" si="46"/>
        <v>14785596.000000004</v>
      </c>
      <c r="F101" s="410">
        <f t="shared" si="46"/>
        <v>15814159.2</v>
      </c>
      <c r="G101" s="410">
        <f t="shared" si="46"/>
        <v>14785596.000000004</v>
      </c>
      <c r="H101" s="410">
        <f t="shared" si="46"/>
        <v>15814159.2</v>
      </c>
      <c r="I101" s="410">
        <f t="shared" si="46"/>
        <v>15814159.2</v>
      </c>
      <c r="J101" s="410">
        <f t="shared" si="46"/>
        <v>14785596.000000004</v>
      </c>
      <c r="K101" s="410">
        <f t="shared" si="46"/>
        <v>15814159.2</v>
      </c>
      <c r="L101" s="410">
        <f t="shared" si="46"/>
        <v>10299917.600000001</v>
      </c>
      <c r="M101" s="410">
        <f t="shared" si="46"/>
        <v>15598391.5384</v>
      </c>
      <c r="N101" s="410">
        <f t="shared" si="40"/>
        <v>177825665.1384</v>
      </c>
    </row>
    <row r="102" spans="1:14" ht="12.75">
      <c r="A102" s="323" t="s">
        <v>33</v>
      </c>
      <c r="B102" s="410">
        <f>+B21*(1+B49)</f>
        <v>-465074.59338810365</v>
      </c>
      <c r="C102" s="410">
        <f aca="true" t="shared" si="47" ref="C102:M102">+C21*(1+C49)</f>
        <v>-217422.5169763898</v>
      </c>
      <c r="D102" s="410">
        <f t="shared" si="47"/>
        <v>-209356.86335421592</v>
      </c>
      <c r="E102" s="410">
        <f t="shared" si="47"/>
        <v>99093.56605127305</v>
      </c>
      <c r="F102" s="410">
        <f t="shared" si="47"/>
        <v>1851627.739790088</v>
      </c>
      <c r="G102" s="410">
        <f t="shared" si="47"/>
        <v>-61358.269859765</v>
      </c>
      <c r="H102" s="410">
        <f t="shared" si="47"/>
        <v>2055259.648384919</v>
      </c>
      <c r="I102" s="410">
        <f t="shared" si="47"/>
        <v>1536274.7220176444</v>
      </c>
      <c r="J102" s="410">
        <f t="shared" si="47"/>
        <v>603769.9504551393</v>
      </c>
      <c r="K102" s="410">
        <f t="shared" si="47"/>
        <v>2802964.656152406</v>
      </c>
      <c r="L102" s="410">
        <f t="shared" si="47"/>
        <v>10145665.622543124</v>
      </c>
      <c r="M102" s="410">
        <f t="shared" si="47"/>
        <v>-683233.9140931175</v>
      </c>
      <c r="N102" s="410">
        <f t="shared" si="40"/>
        <v>17458209.747723002</v>
      </c>
    </row>
    <row r="103" spans="1:14" ht="12.75">
      <c r="A103" s="323" t="s">
        <v>32</v>
      </c>
      <c r="B103" s="410">
        <f>+B22*(1+B50)</f>
        <v>16071300.000000007</v>
      </c>
      <c r="C103" s="410">
        <f aca="true" t="shared" si="48" ref="C103:M103">+C22*(1+C50)</f>
        <v>16071300.000000007</v>
      </c>
      <c r="D103" s="410">
        <f t="shared" si="48"/>
        <v>16071300.000000007</v>
      </c>
      <c r="E103" s="410">
        <f t="shared" si="48"/>
        <v>16071300.000000007</v>
      </c>
      <c r="F103" s="410">
        <f t="shared" si="48"/>
        <v>16071300.000000007</v>
      </c>
      <c r="G103" s="410">
        <f t="shared" si="48"/>
        <v>16071300.000000007</v>
      </c>
      <c r="H103" s="410">
        <f t="shared" si="48"/>
        <v>16071300.000000007</v>
      </c>
      <c r="I103" s="410">
        <f t="shared" si="48"/>
        <v>16071300.000000007</v>
      </c>
      <c r="J103" s="410">
        <f t="shared" si="48"/>
        <v>16071300.000000007</v>
      </c>
      <c r="K103" s="410">
        <f t="shared" si="48"/>
        <v>16071300.000000007</v>
      </c>
      <c r="L103" s="410">
        <f t="shared" si="48"/>
        <v>15855532.338400006</v>
      </c>
      <c r="M103" s="410">
        <f t="shared" si="48"/>
        <v>16287067.661600007</v>
      </c>
      <c r="N103" s="410">
        <f t="shared" si="40"/>
        <v>192855600.00000003</v>
      </c>
    </row>
    <row r="104" spans="1:14" ht="12.75">
      <c r="A104" s="323" t="s">
        <v>119</v>
      </c>
      <c r="B104" s="410">
        <f aca="true" t="shared" si="49" ref="B104:M104">+B23*(1+B52)</f>
        <v>0</v>
      </c>
      <c r="C104" s="410">
        <f t="shared" si="49"/>
        <v>0</v>
      </c>
      <c r="D104" s="410">
        <f t="shared" si="49"/>
        <v>0</v>
      </c>
      <c r="E104" s="410">
        <f t="shared" si="49"/>
        <v>0</v>
      </c>
      <c r="F104" s="410">
        <f t="shared" si="49"/>
        <v>0</v>
      </c>
      <c r="G104" s="410">
        <f t="shared" si="49"/>
        <v>0</v>
      </c>
      <c r="H104" s="410">
        <f t="shared" si="49"/>
        <v>0</v>
      </c>
      <c r="I104" s="410">
        <f t="shared" si="49"/>
        <v>0</v>
      </c>
      <c r="J104" s="410">
        <f t="shared" si="49"/>
        <v>0</v>
      </c>
      <c r="K104" s="410">
        <f t="shared" si="49"/>
        <v>0</v>
      </c>
      <c r="L104" s="410">
        <f t="shared" si="49"/>
        <v>0</v>
      </c>
      <c r="M104" s="410">
        <f t="shared" si="49"/>
        <v>0</v>
      </c>
      <c r="N104" s="410">
        <f t="shared" si="40"/>
        <v>0</v>
      </c>
    </row>
    <row r="105" spans="1:14" ht="12.75">
      <c r="A105" s="333" t="s">
        <v>175</v>
      </c>
      <c r="B105" s="410">
        <f>+B24*(1+B43)</f>
        <v>-1599132.633259975</v>
      </c>
      <c r="C105" s="410">
        <f aca="true" t="shared" si="50" ref="C105:M105">+C24*(1+C43)</f>
        <v>4953778.407332158</v>
      </c>
      <c r="D105" s="410">
        <f t="shared" si="50"/>
        <v>9803600.180904286</v>
      </c>
      <c r="E105" s="410">
        <f t="shared" si="50"/>
        <v>13359576.051142607</v>
      </c>
      <c r="F105" s="410">
        <f t="shared" si="50"/>
        <v>17464217.60540345</v>
      </c>
      <c r="G105" s="410">
        <f t="shared" si="50"/>
        <v>473215.61315841146</v>
      </c>
      <c r="H105" s="410">
        <f t="shared" si="50"/>
        <v>18018197.94944779</v>
      </c>
      <c r="I105" s="410">
        <f t="shared" si="50"/>
        <v>2352568.1650512894</v>
      </c>
      <c r="J105" s="410">
        <f t="shared" si="50"/>
        <v>-3075206.0104000126</v>
      </c>
      <c r="K105" s="410">
        <f t="shared" si="50"/>
        <v>-4025195.229957986</v>
      </c>
      <c r="L105" s="410">
        <f t="shared" si="50"/>
        <v>-4231496.852390718</v>
      </c>
      <c r="M105" s="410">
        <f t="shared" si="50"/>
        <v>-8915587.484307911</v>
      </c>
      <c r="N105" s="410">
        <f t="shared" si="40"/>
        <v>44578535.76212339</v>
      </c>
    </row>
    <row r="106" spans="1:14" ht="12.75">
      <c r="A106" s="323" t="s">
        <v>47</v>
      </c>
      <c r="B106" s="414">
        <f>SUM(B101:B105)</f>
        <v>29821251.97335193</v>
      </c>
      <c r="C106" s="414">
        <f aca="true" t="shared" si="51" ref="C106:M106">SUM(C101:C105)</f>
        <v>33536125.490355782</v>
      </c>
      <c r="D106" s="414">
        <f t="shared" si="51"/>
        <v>41436845.71755008</v>
      </c>
      <c r="E106" s="414">
        <f t="shared" si="51"/>
        <v>44315565.61719389</v>
      </c>
      <c r="F106" s="414">
        <f t="shared" si="51"/>
        <v>51201304.54519355</v>
      </c>
      <c r="G106" s="414">
        <f t="shared" si="51"/>
        <v>31268753.34329866</v>
      </c>
      <c r="H106" s="414">
        <f t="shared" si="51"/>
        <v>51958916.79783271</v>
      </c>
      <c r="I106" s="414">
        <f t="shared" si="51"/>
        <v>35774302.087068945</v>
      </c>
      <c r="J106" s="414">
        <f t="shared" si="51"/>
        <v>28385459.94005514</v>
      </c>
      <c r="K106" s="414">
        <f t="shared" si="51"/>
        <v>30663228.62619443</v>
      </c>
      <c r="L106" s="414">
        <f t="shared" si="51"/>
        <v>32069618.708552416</v>
      </c>
      <c r="M106" s="414">
        <f t="shared" si="51"/>
        <v>22286637.801598977</v>
      </c>
      <c r="N106" s="410">
        <f t="shared" si="40"/>
        <v>432718010.64824647</v>
      </c>
    </row>
    <row r="107" spans="1:14" ht="12.75">
      <c r="A107" s="323"/>
      <c r="B107" s="410"/>
      <c r="C107" s="410"/>
      <c r="D107" s="410"/>
      <c r="E107" s="410"/>
      <c r="F107" s="410"/>
      <c r="G107" s="410"/>
      <c r="H107" s="410"/>
      <c r="I107" s="410"/>
      <c r="J107" s="410"/>
      <c r="K107" s="410"/>
      <c r="L107" s="410"/>
      <c r="M107" s="410"/>
      <c r="N107" s="410"/>
    </row>
    <row r="108" spans="1:14" ht="12.75">
      <c r="A108" s="416" t="s">
        <v>177</v>
      </c>
      <c r="B108" s="410">
        <f>+B98+B106</f>
        <v>1278719204.863885</v>
      </c>
      <c r="C108" s="410">
        <f aca="true" t="shared" si="52" ref="C108:L108">+C98+C106</f>
        <v>1188258558.620577</v>
      </c>
      <c r="D108" s="410">
        <f t="shared" si="52"/>
        <v>1208473904.4466453</v>
      </c>
      <c r="E108" s="410">
        <f t="shared" si="52"/>
        <v>1033823652.517607</v>
      </c>
      <c r="F108" s="410">
        <f t="shared" si="52"/>
        <v>1000593459.7651983</v>
      </c>
      <c r="G108" s="410">
        <f t="shared" si="52"/>
        <v>904535103.5401322</v>
      </c>
      <c r="H108" s="410">
        <f t="shared" si="52"/>
        <v>940999825.0836147</v>
      </c>
      <c r="I108" s="410">
        <f t="shared" si="52"/>
        <v>917303287.0759301</v>
      </c>
      <c r="J108" s="410">
        <f t="shared" si="52"/>
        <v>832023485.3686539</v>
      </c>
      <c r="K108" s="410">
        <f t="shared" si="52"/>
        <v>819549768.3595402</v>
      </c>
      <c r="L108" s="410">
        <f t="shared" si="52"/>
        <v>883108511.598946</v>
      </c>
      <c r="M108" s="410">
        <f>+M98+M106</f>
        <v>990537708.1841247</v>
      </c>
      <c r="N108" s="410">
        <f>SUM(B108:M108)</f>
        <v>11997926469.424854</v>
      </c>
    </row>
    <row r="109" spans="1:14" ht="12.75">
      <c r="A109" s="323"/>
      <c r="B109" s="410"/>
      <c r="C109" s="410"/>
      <c r="D109" s="410"/>
      <c r="E109" s="410"/>
      <c r="F109" s="410"/>
      <c r="G109" s="410"/>
      <c r="H109" s="410"/>
      <c r="I109" s="410"/>
      <c r="J109" s="410"/>
      <c r="K109" s="410"/>
      <c r="L109" s="410"/>
      <c r="M109" s="410"/>
      <c r="N109" s="410"/>
    </row>
    <row r="110" spans="1:14" ht="12.75">
      <c r="A110" s="416" t="s">
        <v>107</v>
      </c>
      <c r="B110" s="410">
        <f>+B29*(1+B52)</f>
        <v>208000</v>
      </c>
      <c r="C110" s="410">
        <f aca="true" t="shared" si="53" ref="C110:M110">+C29*(1+C52)</f>
        <v>61848.39044652128</v>
      </c>
      <c r="D110" s="410">
        <f t="shared" si="53"/>
        <v>360807.4935400517</v>
      </c>
      <c r="E110" s="410">
        <f t="shared" si="53"/>
        <v>51543.082021541006</v>
      </c>
      <c r="F110" s="410">
        <f t="shared" si="53"/>
        <v>181442.3129177762</v>
      </c>
      <c r="G110" s="410">
        <f t="shared" si="53"/>
        <v>0</v>
      </c>
      <c r="H110" s="410">
        <f t="shared" si="53"/>
        <v>1109261.9434994822</v>
      </c>
      <c r="I110" s="410">
        <f t="shared" si="53"/>
        <v>1267993.510707333</v>
      </c>
      <c r="J110" s="410">
        <f t="shared" si="53"/>
        <v>284539.603960396</v>
      </c>
      <c r="K110" s="410">
        <f t="shared" si="53"/>
        <v>995863.6685134977</v>
      </c>
      <c r="L110" s="410">
        <f t="shared" si="53"/>
        <v>3249477.0784324976</v>
      </c>
      <c r="M110" s="410">
        <f t="shared" si="53"/>
        <v>1462995.4526663912</v>
      </c>
      <c r="N110" s="410">
        <f t="shared" si="40"/>
        <v>9233772.536705486</v>
      </c>
    </row>
    <row r="111" spans="2:14" ht="12.75">
      <c r="B111" s="414">
        <f>SUM(B110,B106,B98)</f>
        <v>1278927204.863885</v>
      </c>
      <c r="C111" s="414">
        <f>SUM(C110,C106,C98)</f>
        <v>1188320407.0110238</v>
      </c>
      <c r="D111" s="414">
        <f aca="true" t="shared" si="54" ref="D111:N111">SUM(D110,D106,D98)</f>
        <v>1208834711.9401853</v>
      </c>
      <c r="E111" s="414">
        <f t="shared" si="54"/>
        <v>1033875195.5996284</v>
      </c>
      <c r="F111" s="414">
        <f t="shared" si="54"/>
        <v>1000774902.0781162</v>
      </c>
      <c r="G111" s="414">
        <f t="shared" si="54"/>
        <v>904535103.5401322</v>
      </c>
      <c r="H111" s="414">
        <f t="shared" si="54"/>
        <v>942109087.0271142</v>
      </c>
      <c r="I111" s="414">
        <f t="shared" si="54"/>
        <v>918571280.5866375</v>
      </c>
      <c r="J111" s="414">
        <f t="shared" si="54"/>
        <v>832308024.9726143</v>
      </c>
      <c r="K111" s="414">
        <f t="shared" si="54"/>
        <v>820545632.0280536</v>
      </c>
      <c r="L111" s="414">
        <f t="shared" si="54"/>
        <v>886357988.6773785</v>
      </c>
      <c r="M111" s="414">
        <f t="shared" si="54"/>
        <v>992000703.636791</v>
      </c>
      <c r="N111" s="414">
        <f t="shared" si="54"/>
        <v>12007160241.961561</v>
      </c>
    </row>
    <row r="112" spans="1:13" ht="12.75">
      <c r="A112" s="317" t="s">
        <v>108</v>
      </c>
      <c r="B112" s="414">
        <f>B81-B111</f>
        <v>-208000</v>
      </c>
      <c r="C112" s="414">
        <f aca="true" t="shared" si="55" ref="C112:M112">C81-C111</f>
        <v>-61848.3904466629</v>
      </c>
      <c r="D112" s="414">
        <f t="shared" si="55"/>
        <v>-360807.4935400486</v>
      </c>
      <c r="E112" s="414">
        <f t="shared" si="55"/>
        <v>-51543.08202147484</v>
      </c>
      <c r="F112" s="414">
        <f t="shared" si="55"/>
        <v>-181442.31291782856</v>
      </c>
      <c r="G112" s="414">
        <f t="shared" si="55"/>
        <v>0</v>
      </c>
      <c r="H112" s="414">
        <f t="shared" si="55"/>
        <v>-1109261.943499446</v>
      </c>
      <c r="I112" s="414">
        <f t="shared" si="55"/>
        <v>-1267993.5107073784</v>
      </c>
      <c r="J112" s="414">
        <f t="shared" si="55"/>
        <v>-284539.60396039486</v>
      </c>
      <c r="K112" s="414">
        <f t="shared" si="55"/>
        <v>-995863.6685134172</v>
      </c>
      <c r="L112" s="414">
        <f t="shared" si="55"/>
        <v>-3249477.07843256</v>
      </c>
      <c r="M112" s="414">
        <f t="shared" si="55"/>
        <v>-1462995.4526662827</v>
      </c>
    </row>
    <row r="113" ht="12.75">
      <c r="A113" s="317" t="s">
        <v>63</v>
      </c>
    </row>
    <row r="114" spans="1:13" ht="12.75">
      <c r="A114" s="333" t="s">
        <v>57</v>
      </c>
      <c r="B114" s="428">
        <f>+B88/B$98</f>
        <v>0.46561934053175824</v>
      </c>
      <c r="C114" s="425">
        <f aca="true" t="shared" si="56" ref="C114:L114">+C88/C$98</f>
        <v>0.45806926479428306</v>
      </c>
      <c r="D114" s="425">
        <f t="shared" si="56"/>
        <v>0.4349985540004971</v>
      </c>
      <c r="E114" s="425">
        <f t="shared" si="56"/>
        <v>0.40048406589526314</v>
      </c>
      <c r="F114" s="425">
        <f t="shared" si="56"/>
        <v>0.3781206659360467</v>
      </c>
      <c r="G114" s="425">
        <f t="shared" si="56"/>
        <v>0.3353930662533682</v>
      </c>
      <c r="H114" s="425">
        <f t="shared" si="56"/>
        <v>0.3203990362623934</v>
      </c>
      <c r="I114" s="425">
        <f t="shared" si="56"/>
        <v>0.3231720574012803</v>
      </c>
      <c r="J114" s="425">
        <f t="shared" si="56"/>
        <v>0.3563339791592716</v>
      </c>
      <c r="K114" s="425">
        <f t="shared" si="56"/>
        <v>0.40953585550439553</v>
      </c>
      <c r="L114" s="425">
        <f t="shared" si="56"/>
        <v>0.4531891246139026</v>
      </c>
      <c r="M114" s="425">
        <f>+M88/M$98</f>
        <v>0.4990284908252294</v>
      </c>
    </row>
    <row r="115" spans="1:13" ht="12.75">
      <c r="A115" s="333" t="s">
        <v>49</v>
      </c>
      <c r="B115" s="425">
        <f aca="true" t="shared" si="57" ref="B115:M115">+B89/B$98</f>
        <v>0.022384781039182164</v>
      </c>
      <c r="C115" s="425">
        <f t="shared" si="57"/>
        <v>0.023170955871938893</v>
      </c>
      <c r="D115" s="425">
        <f t="shared" si="57"/>
        <v>0.023526365348335312</v>
      </c>
      <c r="E115" s="425">
        <f t="shared" si="57"/>
        <v>0.0218027268893007</v>
      </c>
      <c r="F115" s="425">
        <f t="shared" si="57"/>
        <v>0.022483131130238664</v>
      </c>
      <c r="G115" s="425">
        <f t="shared" si="57"/>
        <v>0.0208162593541589</v>
      </c>
      <c r="H115" s="425">
        <f t="shared" si="57"/>
        <v>0.0212961657898638</v>
      </c>
      <c r="I115" s="425">
        <f t="shared" si="57"/>
        <v>0.021487560873543244</v>
      </c>
      <c r="J115" s="425">
        <f t="shared" si="57"/>
        <v>0.0237047101094144</v>
      </c>
      <c r="K115" s="425">
        <f t="shared" si="57"/>
        <v>0.02467484978851534</v>
      </c>
      <c r="L115" s="425">
        <f t="shared" si="57"/>
        <v>0.022761926304447407</v>
      </c>
      <c r="M115" s="425">
        <f t="shared" si="57"/>
        <v>0.0232944289698996</v>
      </c>
    </row>
    <row r="116" spans="1:13" ht="12.75">
      <c r="A116" s="333" t="s">
        <v>50</v>
      </c>
      <c r="B116" s="425">
        <f aca="true" t="shared" si="58" ref="B116:M116">+B90/B$98</f>
        <v>0.2073946087764033</v>
      </c>
      <c r="C116" s="425">
        <f t="shared" si="58"/>
        <v>0.21262609616398545</v>
      </c>
      <c r="D116" s="425">
        <f t="shared" si="58"/>
        <v>0.20962824430883392</v>
      </c>
      <c r="E116" s="425">
        <f t="shared" si="58"/>
        <v>0.2081230368070459</v>
      </c>
      <c r="F116" s="425">
        <f t="shared" si="58"/>
        <v>0.2118546705950955</v>
      </c>
      <c r="G116" s="425">
        <f t="shared" si="58"/>
        <v>0.22818818501194743</v>
      </c>
      <c r="H116" s="425">
        <f t="shared" si="58"/>
        <v>0.23344806040588217</v>
      </c>
      <c r="I116" s="425">
        <f t="shared" si="58"/>
        <v>0.2288856149339745</v>
      </c>
      <c r="J116" s="425">
        <f t="shared" si="58"/>
        <v>0.23969759968588886</v>
      </c>
      <c r="K116" s="425">
        <f t="shared" si="58"/>
        <v>0.26549516445464044</v>
      </c>
      <c r="L116" s="425">
        <f t="shared" si="58"/>
        <v>0.24652071975774142</v>
      </c>
      <c r="M116" s="425">
        <f t="shared" si="58"/>
        <v>0.24207989777154446</v>
      </c>
    </row>
    <row r="117" spans="1:13" ht="12.75">
      <c r="A117" s="333" t="s">
        <v>51</v>
      </c>
      <c r="B117" s="425">
        <f aca="true" t="shared" si="59" ref="B117:M117">+B91/B$98</f>
        <v>0.030233014701912156</v>
      </c>
      <c r="C117" s="425">
        <f t="shared" si="59"/>
        <v>0.028661447405678005</v>
      </c>
      <c r="D117" s="425">
        <f t="shared" si="59"/>
        <v>0.03415089994410376</v>
      </c>
      <c r="E117" s="425">
        <f t="shared" si="59"/>
        <v>0.03488290309381488</v>
      </c>
      <c r="F117" s="425">
        <f t="shared" si="59"/>
        <v>0.03720387126607726</v>
      </c>
      <c r="G117" s="425">
        <f t="shared" si="59"/>
        <v>0.039900045340809695</v>
      </c>
      <c r="H117" s="425">
        <f t="shared" si="59"/>
        <v>0.04535748975280391</v>
      </c>
      <c r="I117" s="425">
        <f t="shared" si="59"/>
        <v>0.04659418186994711</v>
      </c>
      <c r="J117" s="425">
        <f t="shared" si="59"/>
        <v>0.047087286817454006</v>
      </c>
      <c r="K117" s="425">
        <f t="shared" si="59"/>
        <v>0.04731140634508683</v>
      </c>
      <c r="L117" s="425">
        <f t="shared" si="59"/>
        <v>0.04122721514148588</v>
      </c>
      <c r="M117" s="425">
        <f t="shared" si="59"/>
        <v>0.03678774128092991</v>
      </c>
    </row>
    <row r="118" spans="1:13" ht="12.75">
      <c r="A118" s="333" t="s">
        <v>52</v>
      </c>
      <c r="B118" s="425">
        <f aca="true" t="shared" si="60" ref="B118:M118">+B92/B$98</f>
        <v>0.02043207825303399</v>
      </c>
      <c r="C118" s="425">
        <f t="shared" si="60"/>
        <v>0.020516717336001508</v>
      </c>
      <c r="D118" s="425">
        <f t="shared" si="60"/>
        <v>0.021713284187259405</v>
      </c>
      <c r="E118" s="425">
        <f t="shared" si="60"/>
        <v>0.02166261776192605</v>
      </c>
      <c r="F118" s="425">
        <f t="shared" si="60"/>
        <v>0.023161632748478843</v>
      </c>
      <c r="G118" s="425">
        <f t="shared" si="60"/>
        <v>0.024506647901411483</v>
      </c>
      <c r="H118" s="425">
        <f t="shared" si="60"/>
        <v>0.027524176166624992</v>
      </c>
      <c r="I118" s="425">
        <f t="shared" si="60"/>
        <v>0.02277781756137091</v>
      </c>
      <c r="J118" s="425">
        <f t="shared" si="60"/>
        <v>0.02803110472592433</v>
      </c>
      <c r="K118" s="425">
        <f t="shared" si="60"/>
        <v>0.02240036383507876</v>
      </c>
      <c r="L118" s="425">
        <f t="shared" si="60"/>
        <v>0.026731938284399286</v>
      </c>
      <c r="M118" s="425">
        <f t="shared" si="60"/>
        <v>0.02368344276702433</v>
      </c>
    </row>
    <row r="119" spans="1:13" ht="12.75">
      <c r="A119" s="333" t="s">
        <v>53</v>
      </c>
      <c r="B119" s="425">
        <f aca="true" t="shared" si="61" ref="B119:M119">+B93/B$98</f>
        <v>0.03177523357379985</v>
      </c>
      <c r="C119" s="425">
        <f t="shared" si="61"/>
        <v>0.035664862533791544</v>
      </c>
      <c r="D119" s="425">
        <f t="shared" si="61"/>
        <v>0.039373020209581576</v>
      </c>
      <c r="E119" s="425">
        <f t="shared" si="61"/>
        <v>0.04505013477052992</v>
      </c>
      <c r="F119" s="425">
        <f t="shared" si="61"/>
        <v>0.04235678147235664</v>
      </c>
      <c r="G119" s="425">
        <f t="shared" si="61"/>
        <v>0.05000306340213913</v>
      </c>
      <c r="H119" s="425">
        <f t="shared" si="61"/>
        <v>0.04914105085881663</v>
      </c>
      <c r="I119" s="425">
        <f t="shared" si="61"/>
        <v>0.04803285441370101</v>
      </c>
      <c r="J119" s="425">
        <f t="shared" si="61"/>
        <v>0.056408112405455804</v>
      </c>
      <c r="K119" s="425">
        <f t="shared" si="61"/>
        <v>0.05615403509301173</v>
      </c>
      <c r="L119" s="425">
        <f t="shared" si="61"/>
        <v>0.052892576375497956</v>
      </c>
      <c r="M119" s="425">
        <f t="shared" si="61"/>
        <v>0.04578651853020427</v>
      </c>
    </row>
    <row r="120" spans="1:13" ht="12.75">
      <c r="A120" s="333" t="s">
        <v>54</v>
      </c>
      <c r="B120" s="425">
        <f aca="true" t="shared" si="62" ref="B120:M120">+B94/B$98</f>
        <v>0.06510975912832996</v>
      </c>
      <c r="C120" s="425">
        <f t="shared" si="62"/>
        <v>0.0661888419226255</v>
      </c>
      <c r="D120" s="425">
        <f t="shared" si="62"/>
        <v>0.06966460075220296</v>
      </c>
      <c r="E120" s="425">
        <f t="shared" si="62"/>
        <v>0.0799793006199469</v>
      </c>
      <c r="F120" s="425">
        <f t="shared" si="62"/>
        <v>0.08440474481094623</v>
      </c>
      <c r="G120" s="425">
        <f t="shared" si="62"/>
        <v>0.09269331926723898</v>
      </c>
      <c r="H120" s="425">
        <f t="shared" si="62"/>
        <v>0.09055234818157178</v>
      </c>
      <c r="I120" s="425">
        <f t="shared" si="62"/>
        <v>0.09444556937028277</v>
      </c>
      <c r="J120" s="425">
        <f t="shared" si="62"/>
        <v>0.10560284882809545</v>
      </c>
      <c r="K120" s="425">
        <f t="shared" si="62"/>
        <v>0.10308993642765667</v>
      </c>
      <c r="L120" s="425">
        <f t="shared" si="62"/>
        <v>0.09560253246043449</v>
      </c>
      <c r="M120" s="425">
        <f t="shared" si="62"/>
        <v>0.0712924210858198</v>
      </c>
    </row>
    <row r="121" spans="1:13" ht="12.75">
      <c r="A121" s="333" t="s">
        <v>58</v>
      </c>
      <c r="B121" s="425">
        <f aca="true" t="shared" si="63" ref="B121:L121">+B95/B$98</f>
        <v>0.13175588161656007</v>
      </c>
      <c r="C121" s="425">
        <f t="shared" si="63"/>
        <v>0.1287113990376429</v>
      </c>
      <c r="D121" s="425">
        <f t="shared" si="63"/>
        <v>0.13977001591944044</v>
      </c>
      <c r="E121" s="425">
        <f t="shared" si="63"/>
        <v>0.16093060348953844</v>
      </c>
      <c r="F121" s="425">
        <f t="shared" si="63"/>
        <v>0.1733221703279823</v>
      </c>
      <c r="G121" s="425">
        <f t="shared" si="63"/>
        <v>0.18235233539347162</v>
      </c>
      <c r="H121" s="425">
        <f t="shared" si="63"/>
        <v>0.18508733247604783</v>
      </c>
      <c r="I121" s="425">
        <f t="shared" si="63"/>
        <v>0.18666442517839377</v>
      </c>
      <c r="J121" s="425">
        <f t="shared" si="63"/>
        <v>0.11284251983427017</v>
      </c>
      <c r="K121" s="425">
        <f t="shared" si="63"/>
        <v>0.03838213478281102</v>
      </c>
      <c r="L121" s="425">
        <f t="shared" si="63"/>
        <v>0.028431030861509242</v>
      </c>
      <c r="M121" s="425">
        <f>+M95/M$98</f>
        <v>0.027511457241537262</v>
      </c>
    </row>
    <row r="122" spans="1:13" ht="12.75">
      <c r="A122" s="333" t="s">
        <v>55</v>
      </c>
      <c r="B122" s="425">
        <f aca="true" t="shared" si="64" ref="B122:M122">+B96/B$98</f>
        <v>0.017195826630369563</v>
      </c>
      <c r="C122" s="425">
        <f t="shared" si="64"/>
        <v>0.01756363047246032</v>
      </c>
      <c r="D122" s="425">
        <f t="shared" si="64"/>
        <v>0.017483258565898246</v>
      </c>
      <c r="E122" s="425">
        <f t="shared" si="64"/>
        <v>0.01671263963502358</v>
      </c>
      <c r="F122" s="425">
        <f t="shared" si="64"/>
        <v>0.015557025851090651</v>
      </c>
      <c r="G122" s="425">
        <f t="shared" si="64"/>
        <v>0.015151296856833786</v>
      </c>
      <c r="H122" s="425">
        <f t="shared" si="64"/>
        <v>0.01585347867405981</v>
      </c>
      <c r="I122" s="425">
        <f t="shared" si="64"/>
        <v>0.016041469761592375</v>
      </c>
      <c r="J122" s="425">
        <f t="shared" si="64"/>
        <v>0.017072771392624697</v>
      </c>
      <c r="K122" s="425">
        <f t="shared" si="64"/>
        <v>0.020143090501076082</v>
      </c>
      <c r="L122" s="425">
        <f t="shared" si="64"/>
        <v>0.01944225943865444</v>
      </c>
      <c r="M122" s="425">
        <f t="shared" si="64"/>
        <v>0.01999944623474498</v>
      </c>
    </row>
    <row r="123" spans="1:13" ht="12.75">
      <c r="A123" s="333" t="s">
        <v>56</v>
      </c>
      <c r="B123" s="429">
        <f aca="true" t="shared" si="65" ref="B123:M123">+B97/B$98</f>
        <v>0.00809947574865059</v>
      </c>
      <c r="C123" s="429">
        <f t="shared" si="65"/>
        <v>0.008826784461592732</v>
      </c>
      <c r="D123" s="429">
        <f t="shared" si="65"/>
        <v>0.009691756763847498</v>
      </c>
      <c r="E123" s="429">
        <f t="shared" si="65"/>
        <v>0.010371971037610457</v>
      </c>
      <c r="F123" s="429">
        <f t="shared" si="65"/>
        <v>0.011535305861687082</v>
      </c>
      <c r="G123" s="429">
        <f t="shared" si="65"/>
        <v>0.010995781218620913</v>
      </c>
      <c r="H123" s="429">
        <f t="shared" si="65"/>
        <v>0.011340861431935722</v>
      </c>
      <c r="I123" s="429">
        <f t="shared" si="65"/>
        <v>0.0118984486359141</v>
      </c>
      <c r="J123" s="429">
        <f t="shared" si="65"/>
        <v>0.013219067041600646</v>
      </c>
      <c r="K123" s="429">
        <f t="shared" si="65"/>
        <v>0.012813163267727377</v>
      </c>
      <c r="L123" s="429">
        <f t="shared" si="65"/>
        <v>0.013200676761927252</v>
      </c>
      <c r="M123" s="429">
        <f t="shared" si="65"/>
        <v>0.010536155293065824</v>
      </c>
    </row>
    <row r="124" spans="1:13" ht="12.75">
      <c r="A124" s="333" t="s">
        <v>47</v>
      </c>
      <c r="B124" s="358">
        <f>SUM(B114:B123)</f>
        <v>0.9999999999999998</v>
      </c>
      <c r="C124" s="358">
        <f aca="true" t="shared" si="66" ref="C124:M124">SUM(C114:C123)</f>
        <v>0.9999999999999998</v>
      </c>
      <c r="D124" s="358">
        <f t="shared" si="66"/>
        <v>1.0000000000000002</v>
      </c>
      <c r="E124" s="358">
        <f t="shared" si="66"/>
        <v>1</v>
      </c>
      <c r="F124" s="358">
        <f t="shared" si="66"/>
        <v>0.9999999999999999</v>
      </c>
      <c r="G124" s="358">
        <f t="shared" si="66"/>
        <v>1.0000000000000002</v>
      </c>
      <c r="H124" s="358">
        <f t="shared" si="66"/>
        <v>1</v>
      </c>
      <c r="I124" s="358">
        <f t="shared" si="66"/>
        <v>1</v>
      </c>
      <c r="J124" s="358">
        <f t="shared" si="66"/>
        <v>1</v>
      </c>
      <c r="K124" s="358">
        <f t="shared" si="66"/>
        <v>0.9999999999999998</v>
      </c>
      <c r="L124" s="358">
        <f t="shared" si="66"/>
        <v>0.9999999999999999</v>
      </c>
      <c r="M124" s="358">
        <f t="shared" si="66"/>
        <v>0.9999999999999998</v>
      </c>
    </row>
    <row r="126" ht="12.75">
      <c r="A126" s="317" t="s">
        <v>108</v>
      </c>
    </row>
    <row r="127" ht="12.75">
      <c r="A127" s="317" t="s">
        <v>63</v>
      </c>
    </row>
    <row r="128" spans="1:13" ht="12.75">
      <c r="A128" s="333" t="s">
        <v>57</v>
      </c>
      <c r="B128" s="428">
        <f>+B57/B$67</f>
        <v>0.4656193405317583</v>
      </c>
      <c r="C128" s="425">
        <f aca="true" t="shared" si="67" ref="C128:M128">+C57/C$67</f>
        <v>0.45806926479428306</v>
      </c>
      <c r="D128" s="425">
        <f t="shared" si="67"/>
        <v>0.43499855400049703</v>
      </c>
      <c r="E128" s="425">
        <f t="shared" si="67"/>
        <v>0.40048406589526314</v>
      </c>
      <c r="F128" s="425">
        <f t="shared" si="67"/>
        <v>0.37812066593604676</v>
      </c>
      <c r="G128" s="425">
        <f t="shared" si="67"/>
        <v>0.33539306625336807</v>
      </c>
      <c r="H128" s="425">
        <f t="shared" si="67"/>
        <v>0.3203990362623934</v>
      </c>
      <c r="I128" s="425">
        <f t="shared" si="67"/>
        <v>0.3231720574012803</v>
      </c>
      <c r="J128" s="425">
        <f t="shared" si="67"/>
        <v>0.3563339791592716</v>
      </c>
      <c r="K128" s="425">
        <f t="shared" si="67"/>
        <v>0.4095358555043957</v>
      </c>
      <c r="L128" s="425">
        <f t="shared" si="67"/>
        <v>0.45318912461390254</v>
      </c>
      <c r="M128" s="425">
        <f t="shared" si="67"/>
        <v>0.49902849082522954</v>
      </c>
    </row>
    <row r="129" spans="1:13" ht="12.75">
      <c r="A129" s="333" t="s">
        <v>49</v>
      </c>
      <c r="B129" s="425">
        <f aca="true" t="shared" si="68" ref="B129:M129">+B58/B$67</f>
        <v>0.022384781039182167</v>
      </c>
      <c r="C129" s="425">
        <f t="shared" si="68"/>
        <v>0.023170955871938893</v>
      </c>
      <c r="D129" s="425">
        <f t="shared" si="68"/>
        <v>0.023526365348335312</v>
      </c>
      <c r="E129" s="425">
        <f t="shared" si="68"/>
        <v>0.0218027268893007</v>
      </c>
      <c r="F129" s="425">
        <f t="shared" si="68"/>
        <v>0.022483131130238667</v>
      </c>
      <c r="G129" s="425">
        <f t="shared" si="68"/>
        <v>0.020816259354158893</v>
      </c>
      <c r="H129" s="425">
        <f t="shared" si="68"/>
        <v>0.021296165789863805</v>
      </c>
      <c r="I129" s="425">
        <f t="shared" si="68"/>
        <v>0.021487560873543244</v>
      </c>
      <c r="J129" s="425">
        <f t="shared" si="68"/>
        <v>0.02370471010941441</v>
      </c>
      <c r="K129" s="425">
        <f t="shared" si="68"/>
        <v>0.02467484978851535</v>
      </c>
      <c r="L129" s="425">
        <f t="shared" si="68"/>
        <v>0.022761926304447407</v>
      </c>
      <c r="M129" s="425">
        <f t="shared" si="68"/>
        <v>0.023294428969899604</v>
      </c>
    </row>
    <row r="130" spans="1:13" ht="12.75">
      <c r="A130" s="333" t="s">
        <v>50</v>
      </c>
      <c r="B130" s="425">
        <f aca="true" t="shared" si="69" ref="B130:M130">+B59/B$67</f>
        <v>0.20739460877640334</v>
      </c>
      <c r="C130" s="425">
        <f t="shared" si="69"/>
        <v>0.21262609616398545</v>
      </c>
      <c r="D130" s="425">
        <f t="shared" si="69"/>
        <v>0.2096282443088339</v>
      </c>
      <c r="E130" s="425">
        <f t="shared" si="69"/>
        <v>0.2081230368070459</v>
      </c>
      <c r="F130" s="425">
        <f t="shared" si="69"/>
        <v>0.21185467059509552</v>
      </c>
      <c r="G130" s="425">
        <f t="shared" si="69"/>
        <v>0.22818818501194735</v>
      </c>
      <c r="H130" s="425">
        <f t="shared" si="69"/>
        <v>0.2334480604058822</v>
      </c>
      <c r="I130" s="425">
        <f t="shared" si="69"/>
        <v>0.22888561493397447</v>
      </c>
      <c r="J130" s="425">
        <f t="shared" si="69"/>
        <v>0.23969759968588886</v>
      </c>
      <c r="K130" s="425">
        <f t="shared" si="69"/>
        <v>0.26549516445464055</v>
      </c>
      <c r="L130" s="425">
        <f t="shared" si="69"/>
        <v>0.2465207197577414</v>
      </c>
      <c r="M130" s="425">
        <f t="shared" si="69"/>
        <v>0.2420798977715445</v>
      </c>
    </row>
    <row r="131" spans="1:13" ht="12.75">
      <c r="A131" s="333" t="s">
        <v>51</v>
      </c>
      <c r="B131" s="425">
        <f aca="true" t="shared" si="70" ref="B131:M131">+B60/B$67</f>
        <v>0.030233014701912163</v>
      </c>
      <c r="C131" s="425">
        <f t="shared" si="70"/>
        <v>0.028661447405678005</v>
      </c>
      <c r="D131" s="425">
        <f t="shared" si="70"/>
        <v>0.03415089994410375</v>
      </c>
      <c r="E131" s="425">
        <f t="shared" si="70"/>
        <v>0.034882903093814886</v>
      </c>
      <c r="F131" s="425">
        <f t="shared" si="70"/>
        <v>0.03720387126607726</v>
      </c>
      <c r="G131" s="425">
        <f t="shared" si="70"/>
        <v>0.03990004534080969</v>
      </c>
      <c r="H131" s="425">
        <f t="shared" si="70"/>
        <v>0.04535748975280391</v>
      </c>
      <c r="I131" s="425">
        <f t="shared" si="70"/>
        <v>0.04659418186994711</v>
      </c>
      <c r="J131" s="425">
        <f t="shared" si="70"/>
        <v>0.04708728681745402</v>
      </c>
      <c r="K131" s="425">
        <f t="shared" si="70"/>
        <v>0.04731140634508685</v>
      </c>
      <c r="L131" s="425">
        <f t="shared" si="70"/>
        <v>0.04122721514148588</v>
      </c>
      <c r="M131" s="425">
        <f t="shared" si="70"/>
        <v>0.036787741280929924</v>
      </c>
    </row>
    <row r="132" spans="1:13" ht="12.75">
      <c r="A132" s="333" t="s">
        <v>52</v>
      </c>
      <c r="B132" s="425">
        <f aca="true" t="shared" si="71" ref="B132:M132">+B61/B$67</f>
        <v>0.020432078253033996</v>
      </c>
      <c r="C132" s="425">
        <f t="shared" si="71"/>
        <v>0.02051671733600151</v>
      </c>
      <c r="D132" s="425">
        <f t="shared" si="71"/>
        <v>0.0217132841872594</v>
      </c>
      <c r="E132" s="425">
        <f t="shared" si="71"/>
        <v>0.021662617761926052</v>
      </c>
      <c r="F132" s="425">
        <f t="shared" si="71"/>
        <v>0.023161632748478846</v>
      </c>
      <c r="G132" s="425">
        <f t="shared" si="71"/>
        <v>0.024506647901411476</v>
      </c>
      <c r="H132" s="425">
        <f t="shared" si="71"/>
        <v>0.027524176166624992</v>
      </c>
      <c r="I132" s="425">
        <f t="shared" si="71"/>
        <v>0.022777817561370903</v>
      </c>
      <c r="J132" s="425">
        <f t="shared" si="71"/>
        <v>0.028031104725924332</v>
      </c>
      <c r="K132" s="425">
        <f t="shared" si="71"/>
        <v>0.022400363835078773</v>
      </c>
      <c r="L132" s="425">
        <f t="shared" si="71"/>
        <v>0.026731938284399286</v>
      </c>
      <c r="M132" s="425">
        <f t="shared" si="71"/>
        <v>0.023683442767024335</v>
      </c>
    </row>
    <row r="133" spans="1:13" ht="12.75">
      <c r="A133" s="333" t="s">
        <v>53</v>
      </c>
      <c r="B133" s="425">
        <f aca="true" t="shared" si="72" ref="B133:M133">+B62/B$67</f>
        <v>0.031775233573799855</v>
      </c>
      <c r="C133" s="425">
        <f t="shared" si="72"/>
        <v>0.035664862533791544</v>
      </c>
      <c r="D133" s="425">
        <f t="shared" si="72"/>
        <v>0.03937302020958157</v>
      </c>
      <c r="E133" s="425">
        <f t="shared" si="72"/>
        <v>0.04505013477052992</v>
      </c>
      <c r="F133" s="425">
        <f t="shared" si="72"/>
        <v>0.04235678147235665</v>
      </c>
      <c r="G133" s="425">
        <f t="shared" si="72"/>
        <v>0.050003063402139114</v>
      </c>
      <c r="H133" s="425">
        <f t="shared" si="72"/>
        <v>0.04914105085881663</v>
      </c>
      <c r="I133" s="425">
        <f t="shared" si="72"/>
        <v>0.048032854413701004</v>
      </c>
      <c r="J133" s="425">
        <f t="shared" si="72"/>
        <v>0.05640811240545581</v>
      </c>
      <c r="K133" s="425">
        <f t="shared" si="72"/>
        <v>0.05615403509301175</v>
      </c>
      <c r="L133" s="425">
        <f t="shared" si="72"/>
        <v>0.052892576375497956</v>
      </c>
      <c r="M133" s="425">
        <f t="shared" si="72"/>
        <v>0.04578651853020428</v>
      </c>
    </row>
    <row r="134" spans="1:13" ht="12.75">
      <c r="A134" s="333" t="s">
        <v>54</v>
      </c>
      <c r="B134" s="425">
        <f aca="true" t="shared" si="73" ref="B134:L134">+B63/B$67</f>
        <v>0.06510975912832997</v>
      </c>
      <c r="C134" s="425">
        <f t="shared" si="73"/>
        <v>0.0661888419226255</v>
      </c>
      <c r="D134" s="425">
        <f t="shared" si="73"/>
        <v>0.06966460075220295</v>
      </c>
      <c r="E134" s="425">
        <f t="shared" si="73"/>
        <v>0.0799793006199469</v>
      </c>
      <c r="F134" s="425">
        <f t="shared" si="73"/>
        <v>0.08440474481094626</v>
      </c>
      <c r="G134" s="425">
        <f t="shared" si="73"/>
        <v>0.09269331926723896</v>
      </c>
      <c r="H134" s="425">
        <f t="shared" si="73"/>
        <v>0.09055234818157178</v>
      </c>
      <c r="I134" s="425">
        <f t="shared" si="73"/>
        <v>0.09444556937028276</v>
      </c>
      <c r="J134" s="425">
        <f t="shared" si="73"/>
        <v>0.10560284882809548</v>
      </c>
      <c r="K134" s="425">
        <f t="shared" si="73"/>
        <v>0.1030899364276567</v>
      </c>
      <c r="L134" s="425">
        <f t="shared" si="73"/>
        <v>0.09560253246043449</v>
      </c>
      <c r="M134" s="425">
        <f>+M63/M$67</f>
        <v>0.07129242108581982</v>
      </c>
    </row>
    <row r="135" spans="1:13" ht="12.75">
      <c r="A135" s="333" t="s">
        <v>58</v>
      </c>
      <c r="B135" s="425">
        <f aca="true" t="shared" si="74" ref="B135:M135">+B64/B$67</f>
        <v>0.1317558816165601</v>
      </c>
      <c r="C135" s="425">
        <f t="shared" si="74"/>
        <v>0.1287113990376429</v>
      </c>
      <c r="D135" s="425">
        <f t="shared" si="74"/>
        <v>0.13977001591944044</v>
      </c>
      <c r="E135" s="425">
        <f t="shared" si="74"/>
        <v>0.16093060348953844</v>
      </c>
      <c r="F135" s="425">
        <f t="shared" si="74"/>
        <v>0.17332217032798236</v>
      </c>
      <c r="G135" s="425">
        <f t="shared" si="74"/>
        <v>0.18235233539347157</v>
      </c>
      <c r="H135" s="425">
        <f t="shared" si="74"/>
        <v>0.18508733247604786</v>
      </c>
      <c r="I135" s="425">
        <f t="shared" si="74"/>
        <v>0.18666442517839374</v>
      </c>
      <c r="J135" s="425">
        <f t="shared" si="74"/>
        <v>0.11284251983427018</v>
      </c>
      <c r="K135" s="425">
        <f t="shared" si="74"/>
        <v>0.038382134782811037</v>
      </c>
      <c r="L135" s="425">
        <f t="shared" si="74"/>
        <v>0.028431030861509242</v>
      </c>
      <c r="M135" s="425">
        <f t="shared" si="74"/>
        <v>0.027511457241537272</v>
      </c>
    </row>
    <row r="136" spans="1:13" ht="12.75">
      <c r="A136" s="333" t="s">
        <v>55</v>
      </c>
      <c r="B136" s="425">
        <f aca="true" t="shared" si="75" ref="B136:M136">+B65/B$67</f>
        <v>0.017195826630369566</v>
      </c>
      <c r="C136" s="425">
        <f t="shared" si="75"/>
        <v>0.01756363047246032</v>
      </c>
      <c r="D136" s="425">
        <f t="shared" si="75"/>
        <v>0.017483258565898246</v>
      </c>
      <c r="E136" s="425">
        <f t="shared" si="75"/>
        <v>0.01671263963502358</v>
      </c>
      <c r="F136" s="425">
        <f t="shared" si="75"/>
        <v>0.015557025851090655</v>
      </c>
      <c r="G136" s="425">
        <f t="shared" si="75"/>
        <v>0.01515129685683378</v>
      </c>
      <c r="H136" s="425">
        <f t="shared" si="75"/>
        <v>0.01585347867405981</v>
      </c>
      <c r="I136" s="425">
        <f t="shared" si="75"/>
        <v>0.016041469761592375</v>
      </c>
      <c r="J136" s="425">
        <f t="shared" si="75"/>
        <v>0.017072771392624697</v>
      </c>
      <c r="K136" s="425">
        <f t="shared" si="75"/>
        <v>0.02014309050107609</v>
      </c>
      <c r="L136" s="425">
        <f t="shared" si="75"/>
        <v>0.019442259438654436</v>
      </c>
      <c r="M136" s="425">
        <f t="shared" si="75"/>
        <v>0.019999446234744988</v>
      </c>
    </row>
    <row r="137" spans="1:13" ht="12.75">
      <c r="A137" s="333" t="s">
        <v>56</v>
      </c>
      <c r="B137" s="429">
        <f aca="true" t="shared" si="76" ref="B137:M137">+B66/B$67</f>
        <v>0.008099475748650591</v>
      </c>
      <c r="C137" s="429">
        <f t="shared" si="76"/>
        <v>0.008826784461592732</v>
      </c>
      <c r="D137" s="429">
        <f t="shared" si="76"/>
        <v>0.009691756763847498</v>
      </c>
      <c r="E137" s="429">
        <f t="shared" si="76"/>
        <v>0.010371971037610457</v>
      </c>
      <c r="F137" s="429">
        <f t="shared" si="76"/>
        <v>0.011535305861687084</v>
      </c>
      <c r="G137" s="429">
        <f t="shared" si="76"/>
        <v>0.01099578121862091</v>
      </c>
      <c r="H137" s="429">
        <f t="shared" si="76"/>
        <v>0.011340861431935722</v>
      </c>
      <c r="I137" s="429">
        <f t="shared" si="76"/>
        <v>0.0118984486359141</v>
      </c>
      <c r="J137" s="429">
        <f t="shared" si="76"/>
        <v>0.013219067041600648</v>
      </c>
      <c r="K137" s="429">
        <f t="shared" si="76"/>
        <v>0.012813163267727383</v>
      </c>
      <c r="L137" s="429">
        <f t="shared" si="76"/>
        <v>0.013200676761927252</v>
      </c>
      <c r="M137" s="429">
        <f t="shared" si="76"/>
        <v>0.010536155293065825</v>
      </c>
    </row>
    <row r="138" spans="1:13" ht="12.75">
      <c r="A138" s="333" t="s">
        <v>47</v>
      </c>
      <c r="B138" s="358">
        <f aca="true" t="shared" si="77" ref="B138:M138">SUM(B128:B137)</f>
        <v>1</v>
      </c>
      <c r="C138" s="358">
        <f t="shared" si="77"/>
        <v>0.9999999999999998</v>
      </c>
      <c r="D138" s="358">
        <f t="shared" si="77"/>
        <v>0.9999999999999999</v>
      </c>
      <c r="E138" s="358">
        <f t="shared" si="77"/>
        <v>1</v>
      </c>
      <c r="F138" s="358">
        <f t="shared" si="77"/>
        <v>1</v>
      </c>
      <c r="G138" s="358">
        <f t="shared" si="77"/>
        <v>0.9999999999999998</v>
      </c>
      <c r="H138" s="358">
        <f t="shared" si="77"/>
        <v>1</v>
      </c>
      <c r="I138" s="358">
        <f t="shared" si="77"/>
        <v>1</v>
      </c>
      <c r="J138" s="358">
        <f t="shared" si="77"/>
        <v>1</v>
      </c>
      <c r="K138" s="358">
        <f t="shared" si="77"/>
        <v>1.0000000000000002</v>
      </c>
      <c r="L138" s="358">
        <f t="shared" si="77"/>
        <v>0.9999999999999998</v>
      </c>
      <c r="M138" s="358">
        <f t="shared" si="77"/>
        <v>1</v>
      </c>
    </row>
    <row r="139" ht="12.75">
      <c r="A139" s="430" t="s">
        <v>106</v>
      </c>
    </row>
    <row r="140" ht="12.75">
      <c r="A140" s="431" t="s">
        <v>83</v>
      </c>
    </row>
    <row r="141" spans="1:13" ht="12.75">
      <c r="A141" s="431" t="s">
        <v>275</v>
      </c>
      <c r="B141" s="425">
        <f>B101/(B98+B101+B104)</f>
        <v>0.01250415730885952</v>
      </c>
      <c r="C141" s="425">
        <f aca="true" t="shared" si="78" ref="C141:M141">C101/(C98+C101+C104)</f>
        <v>0.010902787920445288</v>
      </c>
      <c r="D141" s="425">
        <f t="shared" si="78"/>
        <v>0.013333776559496836</v>
      </c>
      <c r="E141" s="425">
        <f t="shared" si="78"/>
        <v>0.014722382756903352</v>
      </c>
      <c r="F141" s="425">
        <f t="shared" si="78"/>
        <v>0.016384226837039263</v>
      </c>
      <c r="G141" s="425">
        <f t="shared" si="78"/>
        <v>0.01664947198564309</v>
      </c>
      <c r="H141" s="425">
        <f t="shared" si="78"/>
        <v>0.017477007941107084</v>
      </c>
      <c r="I141" s="425">
        <f t="shared" si="78"/>
        <v>0.017623313113173614</v>
      </c>
      <c r="J141" s="425">
        <f t="shared" si="78"/>
        <v>0.018065944839410937</v>
      </c>
      <c r="K141" s="425">
        <f t="shared" si="78"/>
        <v>0.019652225008580368</v>
      </c>
      <c r="L141" s="425">
        <f t="shared" si="78"/>
        <v>0.011958032628456459</v>
      </c>
      <c r="M141" s="425">
        <f t="shared" si="78"/>
        <v>0.015854449427603265</v>
      </c>
    </row>
    <row r="142" ht="12.75">
      <c r="A142" s="431" t="s">
        <v>284</v>
      </c>
    </row>
  </sheetData>
  <sheetProtection/>
  <printOptions/>
  <pageMargins left="0.75" right="0.75" top="1" bottom="1" header="0.5" footer="0.5"/>
  <pageSetup fitToHeight="2" horizontalDpi="600" verticalDpi="600" orientation="landscape" scale="43" r:id="rId1"/>
  <rowBreaks count="1" manualBreakCount="1">
    <brk id="68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T167"/>
  <sheetViews>
    <sheetView view="pageBreakPreview" zoomScale="6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IV16384"/>
    </sheetView>
  </sheetViews>
  <sheetFormatPr defaultColWidth="9.140625" defaultRowHeight="12.75"/>
  <cols>
    <col min="1" max="1" width="26.28125" style="341" customWidth="1"/>
    <col min="2" max="2" width="9.8515625" style="341" customWidth="1"/>
    <col min="3" max="3" width="18.7109375" style="341" bestFit="1" customWidth="1"/>
    <col min="4" max="4" width="19.421875" style="341" bestFit="1" customWidth="1"/>
    <col min="5" max="5" width="18.7109375" style="341" bestFit="1" customWidth="1"/>
    <col min="6" max="6" width="18.00390625" style="341" bestFit="1" customWidth="1"/>
    <col min="7" max="8" width="17.7109375" style="341" bestFit="1" customWidth="1"/>
    <col min="9" max="9" width="17.00390625" style="341" bestFit="1" customWidth="1"/>
    <col min="10" max="11" width="17.57421875" style="341" bestFit="1" customWidth="1"/>
    <col min="12" max="12" width="17.00390625" style="341" bestFit="1" customWidth="1"/>
    <col min="13" max="13" width="17.7109375" style="341" bestFit="1" customWidth="1"/>
    <col min="14" max="14" width="17.421875" style="341" bestFit="1" customWidth="1"/>
    <col min="15" max="15" width="20.57421875" style="341" bestFit="1" customWidth="1"/>
    <col min="16" max="16" width="16.57421875" style="341" bestFit="1" customWidth="1"/>
    <col min="17" max="17" width="13.140625" style="341" bestFit="1" customWidth="1"/>
    <col min="18" max="20" width="14.00390625" style="341" bestFit="1" customWidth="1"/>
    <col min="21" max="28" width="10.7109375" style="341" bestFit="1" customWidth="1"/>
    <col min="29" max="16384" width="9.140625" style="341" customWidth="1"/>
  </cols>
  <sheetData>
    <row r="1" spans="1:16" ht="25.5" customHeight="1">
      <c r="A1" s="359" t="s">
        <v>96</v>
      </c>
      <c r="B1" s="360" t="s">
        <v>158</v>
      </c>
      <c r="C1" s="361" t="s">
        <v>84</v>
      </c>
      <c r="D1" s="361" t="s">
        <v>85</v>
      </c>
      <c r="E1" s="361" t="s">
        <v>86</v>
      </c>
      <c r="F1" s="361" t="s">
        <v>87</v>
      </c>
      <c r="G1" s="361" t="s">
        <v>88</v>
      </c>
      <c r="H1" s="361" t="s">
        <v>89</v>
      </c>
      <c r="I1" s="361" t="s">
        <v>90</v>
      </c>
      <c r="J1" s="361" t="s">
        <v>91</v>
      </c>
      <c r="K1" s="361" t="s">
        <v>92</v>
      </c>
      <c r="L1" s="361" t="s">
        <v>93</v>
      </c>
      <c r="M1" s="361" t="s">
        <v>94</v>
      </c>
      <c r="N1" s="361" t="s">
        <v>95</v>
      </c>
      <c r="O1" s="361" t="s">
        <v>144</v>
      </c>
      <c r="P1" s="361"/>
    </row>
    <row r="2" spans="1:16" ht="12.75">
      <c r="A2" s="362" t="s">
        <v>150</v>
      </c>
      <c r="B2" s="362"/>
      <c r="C2" s="363">
        <v>65446927.2</v>
      </c>
      <c r="D2" s="363">
        <v>55406557.2</v>
      </c>
      <c r="E2" s="363">
        <v>48531144.99999999</v>
      </c>
      <c r="F2" s="363">
        <v>44174995.300000004</v>
      </c>
      <c r="G2" s="363">
        <v>39583691.5</v>
      </c>
      <c r="H2" s="363">
        <v>42628139.800000004</v>
      </c>
      <c r="I2" s="363">
        <v>42911403.4</v>
      </c>
      <c r="J2" s="363">
        <v>45275849.99398545</v>
      </c>
      <c r="K2" s="363">
        <v>37619132.931146376</v>
      </c>
      <c r="L2" s="363">
        <v>39900147.800000004</v>
      </c>
      <c r="M2" s="363">
        <v>43724152.650000006</v>
      </c>
      <c r="N2" s="363">
        <v>44732663.73</v>
      </c>
      <c r="O2" s="364">
        <f aca="true" t="shared" si="0" ref="O2:O8">SUM(C2:N2)</f>
        <v>549934806.5051318</v>
      </c>
      <c r="P2" s="365"/>
    </row>
    <row r="3" spans="1:16" ht="12.75">
      <c r="A3" s="362" t="s">
        <v>112</v>
      </c>
      <c r="B3" s="362"/>
      <c r="C3" s="363">
        <v>8302348</v>
      </c>
      <c r="D3" s="363">
        <v>4307533</v>
      </c>
      <c r="E3" s="363">
        <v>1948549</v>
      </c>
      <c r="F3" s="363">
        <v>5342028</v>
      </c>
      <c r="G3" s="363">
        <v>5724746</v>
      </c>
      <c r="H3" s="363">
        <v>3570261</v>
      </c>
      <c r="I3" s="363">
        <v>2978014</v>
      </c>
      <c r="J3" s="363">
        <v>3471935</v>
      </c>
      <c r="K3" s="363">
        <f>4637437+1133459</f>
        <v>5770896</v>
      </c>
      <c r="L3" s="363">
        <v>2455576</v>
      </c>
      <c r="M3" s="363">
        <f>4318545-1209167</f>
        <v>3109378</v>
      </c>
      <c r="N3" s="363">
        <v>3008398</v>
      </c>
      <c r="O3" s="353">
        <f t="shared" si="0"/>
        <v>49989662</v>
      </c>
      <c r="P3" s="365"/>
    </row>
    <row r="4" spans="1:17" ht="12.75">
      <c r="A4" s="362" t="s">
        <v>113</v>
      </c>
      <c r="B4" s="362"/>
      <c r="C4" s="363">
        <f>3652733-740664.8</f>
        <v>2912068.2</v>
      </c>
      <c r="D4" s="363">
        <f>3276451-138937.8</f>
        <v>3137513.2</v>
      </c>
      <c r="E4" s="363">
        <f>5266596-910055</f>
        <v>4356541</v>
      </c>
      <c r="F4" s="363">
        <f>6466574-845634.7</f>
        <v>5620939.3</v>
      </c>
      <c r="G4" s="363">
        <f>3841862-700680.5</f>
        <v>3141181.5</v>
      </c>
      <c r="H4" s="363">
        <f>-1028514+4492513.8</f>
        <v>3463999.8</v>
      </c>
      <c r="I4" s="363">
        <f>3415744+191220.4</f>
        <v>3606964.4</v>
      </c>
      <c r="J4" s="363">
        <v>3131338</v>
      </c>
      <c r="K4" s="363">
        <f>3519310-1018373.07</f>
        <v>2500936.93</v>
      </c>
      <c r="L4" s="363">
        <v>4951746.8</v>
      </c>
      <c r="M4" s="363">
        <f>4388765+413770+188969.65</f>
        <v>4991504.65</v>
      </c>
      <c r="N4" s="363">
        <f>4902402+188605.73</f>
        <v>5091007.73</v>
      </c>
      <c r="O4" s="353">
        <f t="shared" si="0"/>
        <v>46905741.50999999</v>
      </c>
      <c r="P4" s="365"/>
      <c r="Q4" s="353"/>
    </row>
    <row r="5" spans="1:16" ht="12.75">
      <c r="A5" s="335" t="s">
        <v>29</v>
      </c>
      <c r="B5" s="335"/>
      <c r="C5" s="363">
        <v>9574</v>
      </c>
      <c r="D5" s="363">
        <v>1908</v>
      </c>
      <c r="E5" s="363">
        <v>34594</v>
      </c>
      <c r="F5" s="363">
        <v>1522</v>
      </c>
      <c r="G5" s="363">
        <v>6291</v>
      </c>
      <c r="H5" s="363">
        <v>143</v>
      </c>
      <c r="I5" s="363">
        <v>119472</v>
      </c>
      <c r="J5" s="363">
        <v>107832</v>
      </c>
      <c r="K5" s="363">
        <v>8262</v>
      </c>
      <c r="L5" s="363">
        <v>32836</v>
      </c>
      <c r="M5" s="366">
        <v>98744</v>
      </c>
      <c r="N5" s="366">
        <v>31008</v>
      </c>
      <c r="O5" s="353">
        <f t="shared" si="0"/>
        <v>452186</v>
      </c>
      <c r="P5" s="365"/>
    </row>
    <row r="6" spans="1:16" ht="25.5">
      <c r="A6" s="362" t="s">
        <v>122</v>
      </c>
      <c r="B6" s="362"/>
      <c r="C6" s="363">
        <v>9056.36802649504</v>
      </c>
      <c r="D6" s="363">
        <v>9056.36802649504</v>
      </c>
      <c r="E6" s="363">
        <v>9056.36802649504</v>
      </c>
      <c r="F6" s="363">
        <v>9056.36802649504</v>
      </c>
      <c r="G6" s="363">
        <v>9056.36802649504</v>
      </c>
      <c r="H6" s="363">
        <v>9396.60858641477</v>
      </c>
      <c r="I6" s="363">
        <v>9396.60858641477</v>
      </c>
      <c r="J6" s="363">
        <v>9396.60858641477</v>
      </c>
      <c r="K6" s="363">
        <v>9927.02571193174</v>
      </c>
      <c r="L6" s="363">
        <v>9927.02571193174</v>
      </c>
      <c r="M6" s="363">
        <v>9927.026</v>
      </c>
      <c r="N6" s="363">
        <v>9927.026</v>
      </c>
      <c r="O6" s="353">
        <f t="shared" si="0"/>
        <v>113179.76931558298</v>
      </c>
      <c r="P6" s="365"/>
    </row>
    <row r="7" spans="1:16" ht="25.5">
      <c r="A7" s="362" t="s">
        <v>172</v>
      </c>
      <c r="B7" s="362" t="s">
        <v>0</v>
      </c>
      <c r="C7" s="363">
        <v>-183333.333333333</v>
      </c>
      <c r="D7" s="363">
        <v>-183333.333333333</v>
      </c>
      <c r="E7" s="363">
        <v>-183333.333333333</v>
      </c>
      <c r="F7" s="363">
        <v>-183333.333333333</v>
      </c>
      <c r="G7" s="363">
        <v>-183333.333333333</v>
      </c>
      <c r="H7" s="363">
        <v>-183333.333333333</v>
      </c>
      <c r="I7" s="363">
        <v>-183333.333333333</v>
      </c>
      <c r="J7" s="363">
        <v>-183333.333333333</v>
      </c>
      <c r="K7" s="363">
        <v>-183333.333333333</v>
      </c>
      <c r="L7" s="363">
        <v>-183333.333333333</v>
      </c>
      <c r="M7" s="363">
        <v>-183333.33333333334</v>
      </c>
      <c r="N7" s="363">
        <v>-183333.33333333334</v>
      </c>
      <c r="O7" s="353">
        <f t="shared" si="0"/>
        <v>-2199999.9999999967</v>
      </c>
      <c r="P7" s="365"/>
    </row>
    <row r="8" spans="1:16" ht="25.5">
      <c r="A8" s="362" t="s">
        <v>173</v>
      </c>
      <c r="B8" s="362"/>
      <c r="C8" s="363">
        <v>-22380.469999999703</v>
      </c>
      <c r="D8" s="363">
        <v>15899.3700000012</v>
      </c>
      <c r="E8" s="363">
        <v>1285756.3299999998</v>
      </c>
      <c r="F8" s="363">
        <v>-251420.62</v>
      </c>
      <c r="G8" s="363">
        <v>5908.57999999547</v>
      </c>
      <c r="H8" s="363">
        <v>1698676.02</v>
      </c>
      <c r="I8" s="363">
        <v>724148.94</v>
      </c>
      <c r="J8" s="363">
        <v>-88377.2400000004</v>
      </c>
      <c r="K8" s="363">
        <v>931543.91</v>
      </c>
      <c r="L8" s="363">
        <v>-16292.51</v>
      </c>
      <c r="M8" s="367">
        <v>-8905.61</v>
      </c>
      <c r="N8" s="367">
        <v>877994.77</v>
      </c>
      <c r="O8" s="353">
        <f t="shared" si="0"/>
        <v>5152551.469999997</v>
      </c>
      <c r="P8" s="365"/>
    </row>
    <row r="9" spans="1:15" ht="12.75">
      <c r="A9" s="362"/>
      <c r="B9" s="362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53"/>
    </row>
    <row r="10" spans="1:15" ht="12.75">
      <c r="A10" s="362"/>
      <c r="B10" s="362"/>
      <c r="C10" s="369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53"/>
    </row>
    <row r="11" spans="3:14" ht="12.75"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</row>
    <row r="12" spans="1:14" ht="12.75">
      <c r="A12" s="328" t="s">
        <v>98</v>
      </c>
      <c r="B12" s="328"/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</row>
    <row r="13" spans="1:16" ht="12.75">
      <c r="A13" s="341" t="s">
        <v>265</v>
      </c>
      <c r="C13" s="353">
        <v>-45481.0120055</v>
      </c>
      <c r="D13" s="353">
        <v>-16454.805050000003</v>
      </c>
      <c r="E13" s="353">
        <v>-10800.752049999997</v>
      </c>
      <c r="F13" s="353">
        <v>8563.808599999997</v>
      </c>
      <c r="G13" s="353">
        <v>111978.6019155</v>
      </c>
      <c r="H13" s="353">
        <v>-1839.7458490000026</v>
      </c>
      <c r="I13" s="353">
        <v>127757.98255000004</v>
      </c>
      <c r="J13" s="353">
        <v>94484.20087649999</v>
      </c>
      <c r="K13" s="353">
        <v>38163.01855</v>
      </c>
      <c r="L13" s="353">
        <v>148257.08999</v>
      </c>
      <c r="M13" s="353">
        <v>543681</v>
      </c>
      <c r="N13" s="353">
        <v>-25122</v>
      </c>
      <c r="O13" s="353">
        <f aca="true" t="shared" si="1" ref="O13:O18">SUM(C13:N13)</f>
        <v>973187.3875275</v>
      </c>
      <c r="P13" s="365"/>
    </row>
    <row r="14" spans="1:16" ht="12.75">
      <c r="A14" s="341" t="s">
        <v>239</v>
      </c>
      <c r="C14" s="353">
        <v>138.52799449999986</v>
      </c>
      <c r="D14" s="353">
        <v>5.30495</v>
      </c>
      <c r="E14" s="353">
        <v>33.087950000000006</v>
      </c>
      <c r="F14" s="353">
        <v>148.11860000000001</v>
      </c>
      <c r="G14" s="353">
        <v>718.6719155000001</v>
      </c>
      <c r="H14" s="353">
        <v>112.91415100000012</v>
      </c>
      <c r="I14" s="353">
        <v>794.39255</v>
      </c>
      <c r="J14" s="353">
        <v>615.4108765</v>
      </c>
      <c r="K14" s="353">
        <v>292.05855</v>
      </c>
      <c r="L14" s="353">
        <v>1038.50999</v>
      </c>
      <c r="M14" s="353">
        <v>3508</v>
      </c>
      <c r="N14" s="353">
        <v>316</v>
      </c>
      <c r="O14" s="353">
        <f t="shared" si="1"/>
        <v>7720.9975275</v>
      </c>
      <c r="P14" s="365"/>
    </row>
    <row r="15" spans="1:16" ht="12.75">
      <c r="A15" s="341" t="s">
        <v>240</v>
      </c>
      <c r="C15" s="353">
        <v>1978.9713499999978</v>
      </c>
      <c r="D15" s="353">
        <v>75.785</v>
      </c>
      <c r="E15" s="353">
        <v>472.685</v>
      </c>
      <c r="F15" s="353">
        <v>2115.9800000000005</v>
      </c>
      <c r="G15" s="353">
        <v>10266.74165</v>
      </c>
      <c r="H15" s="353">
        <v>1613.0593000000017</v>
      </c>
      <c r="I15" s="353">
        <v>11348.465</v>
      </c>
      <c r="J15" s="353">
        <v>8791.58395</v>
      </c>
      <c r="K15" s="353">
        <v>4172.264999999999</v>
      </c>
      <c r="L15" s="353">
        <v>14835.857000000002</v>
      </c>
      <c r="M15" s="353">
        <v>50114</v>
      </c>
      <c r="N15" s="353">
        <v>4509</v>
      </c>
      <c r="O15" s="353">
        <f t="shared" si="1"/>
        <v>110294.39325000001</v>
      </c>
      <c r="P15" s="365"/>
    </row>
    <row r="16" spans="1:16" ht="12.75">
      <c r="A16" s="341" t="s">
        <v>266</v>
      </c>
      <c r="B16" s="341">
        <v>0.05726</v>
      </c>
      <c r="C16" s="353">
        <f>$B$16*C37</f>
        <v>887415.48</v>
      </c>
      <c r="D16" s="353">
        <f aca="true" t="shared" si="2" ref="D16:N16">$B$16*D37</f>
        <v>714261.24</v>
      </c>
      <c r="E16" s="353">
        <f t="shared" si="2"/>
        <v>885010.5599999999</v>
      </c>
      <c r="F16" s="353">
        <f t="shared" si="2"/>
        <v>829697.4</v>
      </c>
      <c r="G16" s="353">
        <f t="shared" si="2"/>
        <v>887415.48</v>
      </c>
      <c r="H16" s="353">
        <f t="shared" si="2"/>
        <v>829697.4</v>
      </c>
      <c r="I16" s="353">
        <f t="shared" si="2"/>
        <v>887415.48</v>
      </c>
      <c r="J16" s="353">
        <f t="shared" si="2"/>
        <v>887415.48</v>
      </c>
      <c r="K16" s="353">
        <f t="shared" si="2"/>
        <v>829697.4</v>
      </c>
      <c r="L16" s="353">
        <f t="shared" si="2"/>
        <v>887415.48</v>
      </c>
      <c r="M16" s="353">
        <f t="shared" si="2"/>
        <v>577982.44</v>
      </c>
      <c r="N16" s="353">
        <f t="shared" si="2"/>
        <v>875307.62396</v>
      </c>
      <c r="O16" s="353">
        <f t="shared" si="1"/>
        <v>9978731.463960001</v>
      </c>
      <c r="P16" s="365"/>
    </row>
    <row r="17" spans="1:16" ht="12.75">
      <c r="A17" s="341" t="s">
        <v>241</v>
      </c>
      <c r="C17" s="353">
        <f>C13-C14-C15</f>
        <v>-47598.51135</v>
      </c>
      <c r="D17" s="353">
        <f>D13-D14-D15</f>
        <v>-16535.895000000004</v>
      </c>
      <c r="E17" s="353">
        <f aca="true" t="shared" si="3" ref="E17:N17">E13-E14-E15</f>
        <v>-11306.524999999996</v>
      </c>
      <c r="F17" s="353">
        <f t="shared" si="3"/>
        <v>6299.709999999996</v>
      </c>
      <c r="G17" s="353">
        <f t="shared" si="3"/>
        <v>100993.18835</v>
      </c>
      <c r="H17" s="353">
        <f t="shared" si="3"/>
        <v>-3565.7193000000043</v>
      </c>
      <c r="I17" s="353">
        <f t="shared" si="3"/>
        <v>115615.12500000004</v>
      </c>
      <c r="J17" s="353">
        <f t="shared" si="3"/>
        <v>85077.20605</v>
      </c>
      <c r="K17" s="353">
        <f t="shared" si="3"/>
        <v>33698.695</v>
      </c>
      <c r="L17" s="353">
        <f t="shared" si="3"/>
        <v>132382.72300000003</v>
      </c>
      <c r="M17" s="353">
        <f t="shared" si="3"/>
        <v>490059</v>
      </c>
      <c r="N17" s="353">
        <f t="shared" si="3"/>
        <v>-29947</v>
      </c>
      <c r="O17" s="353">
        <f t="shared" si="1"/>
        <v>855171.99675</v>
      </c>
      <c r="P17" s="365"/>
    </row>
    <row r="18" spans="3:15" ht="12.75">
      <c r="C18" s="371">
        <f>C16+C17</f>
        <v>839816.9686499999</v>
      </c>
      <c r="D18" s="371">
        <f aca="true" t="shared" si="4" ref="D18:N18">D16+D17</f>
        <v>697725.345</v>
      </c>
      <c r="E18" s="371">
        <f t="shared" si="4"/>
        <v>873704.0349999999</v>
      </c>
      <c r="F18" s="371">
        <f t="shared" si="4"/>
        <v>835997.11</v>
      </c>
      <c r="G18" s="371">
        <f t="shared" si="4"/>
        <v>988408.6683499999</v>
      </c>
      <c r="H18" s="371">
        <f t="shared" si="4"/>
        <v>826131.6807</v>
      </c>
      <c r="I18" s="371">
        <f t="shared" si="4"/>
        <v>1003030.605</v>
      </c>
      <c r="J18" s="371">
        <f t="shared" si="4"/>
        <v>972492.68605</v>
      </c>
      <c r="K18" s="371">
        <f t="shared" si="4"/>
        <v>863396.095</v>
      </c>
      <c r="L18" s="371">
        <f t="shared" si="4"/>
        <v>1019798.203</v>
      </c>
      <c r="M18" s="371">
        <f t="shared" si="4"/>
        <v>1068041.44</v>
      </c>
      <c r="N18" s="371">
        <f t="shared" si="4"/>
        <v>845360.62396</v>
      </c>
      <c r="O18" s="353">
        <f t="shared" si="1"/>
        <v>10833903.46071</v>
      </c>
    </row>
    <row r="19" spans="3:15" ht="12.75"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</row>
    <row r="20" spans="1:16" ht="12.75">
      <c r="A20" s="328" t="s">
        <v>97</v>
      </c>
      <c r="B20" s="328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53"/>
      <c r="P20" s="372"/>
    </row>
    <row r="21" spans="1:2" ht="12.75">
      <c r="A21" s="328" t="s">
        <v>41</v>
      </c>
      <c r="B21" s="328"/>
    </row>
    <row r="22" spans="1:18" ht="12.75">
      <c r="A22" s="373" t="s">
        <v>103</v>
      </c>
      <c r="B22" s="373"/>
      <c r="C22" s="374">
        <v>491597341.0000003</v>
      </c>
      <c r="D22" s="374">
        <v>447237069.00000006</v>
      </c>
      <c r="E22" s="374">
        <v>434583594.0663284</v>
      </c>
      <c r="F22" s="374">
        <v>342830712.6770455</v>
      </c>
      <c r="G22" s="374">
        <v>317944762.7246134</v>
      </c>
      <c r="H22" s="374">
        <v>262374957.66969824</v>
      </c>
      <c r="I22" s="374">
        <v>255826504.48412168</v>
      </c>
      <c r="J22" s="374">
        <v>256068467.12117815</v>
      </c>
      <c r="K22" s="374">
        <v>257225936.05937248</v>
      </c>
      <c r="L22" s="374">
        <v>285773310.01161015</v>
      </c>
      <c r="M22" s="375">
        <v>331367160.51724106</v>
      </c>
      <c r="N22" s="375">
        <v>399861875.6558747</v>
      </c>
      <c r="O22" s="376">
        <f>SUM(C22:N22)</f>
        <v>4082691690.987084</v>
      </c>
      <c r="P22" s="377"/>
      <c r="Q22" s="313"/>
      <c r="R22" s="377"/>
    </row>
    <row r="23" spans="1:18" ht="15">
      <c r="A23" s="373" t="s">
        <v>104</v>
      </c>
      <c r="B23" s="373"/>
      <c r="C23" s="378">
        <v>24531972.844606645</v>
      </c>
      <c r="D23" s="378">
        <v>23582348.746298164</v>
      </c>
      <c r="E23" s="378">
        <v>23542204.07721302</v>
      </c>
      <c r="F23" s="378">
        <v>19053331.20291841</v>
      </c>
      <c r="G23" s="378">
        <v>13564359.01430652</v>
      </c>
      <c r="H23" s="378">
        <v>9141075.003010314</v>
      </c>
      <c r="I23" s="378">
        <v>7263772.667569518</v>
      </c>
      <c r="J23" s="378">
        <v>7441492.09589796</v>
      </c>
      <c r="K23" s="378">
        <v>8327371.07233436</v>
      </c>
      <c r="L23" s="378">
        <v>11226696.750063414</v>
      </c>
      <c r="M23" s="379">
        <v>17547987.91775844</v>
      </c>
      <c r="N23" s="379">
        <v>26719327.608521003</v>
      </c>
      <c r="O23" s="380">
        <f aca="true" t="shared" si="5" ref="O23:O33">SUM(C23:N23)</f>
        <v>191941939.00049776</v>
      </c>
      <c r="P23" s="377"/>
      <c r="Q23" s="313"/>
      <c r="R23" s="377"/>
    </row>
    <row r="24" spans="1:18" ht="12.75">
      <c r="A24" s="373" t="s">
        <v>105</v>
      </c>
      <c r="B24" s="373"/>
      <c r="C24" s="334">
        <f aca="true" t="shared" si="6" ref="C24:N24">SUM(C22:C23)</f>
        <v>516129313.84460694</v>
      </c>
      <c r="D24" s="334">
        <f t="shared" si="6"/>
        <v>470819417.7462982</v>
      </c>
      <c r="E24" s="334">
        <f t="shared" si="6"/>
        <v>458125798.14354146</v>
      </c>
      <c r="F24" s="334">
        <f t="shared" si="6"/>
        <v>361884043.87996393</v>
      </c>
      <c r="G24" s="334">
        <f t="shared" si="6"/>
        <v>331509121.73892</v>
      </c>
      <c r="H24" s="334">
        <f t="shared" si="6"/>
        <v>271516032.6727086</v>
      </c>
      <c r="I24" s="334">
        <f t="shared" si="6"/>
        <v>263090277.1516912</v>
      </c>
      <c r="J24" s="334">
        <f t="shared" si="6"/>
        <v>263509959.21707612</v>
      </c>
      <c r="K24" s="334">
        <f t="shared" si="6"/>
        <v>265553307.13170683</v>
      </c>
      <c r="L24" s="334">
        <f t="shared" si="6"/>
        <v>297000006.76167357</v>
      </c>
      <c r="M24" s="334">
        <f t="shared" si="6"/>
        <v>348915148.4349995</v>
      </c>
      <c r="N24" s="334">
        <f t="shared" si="6"/>
        <v>426581203.2643957</v>
      </c>
      <c r="O24" s="376">
        <f t="shared" si="5"/>
        <v>4274633629.987582</v>
      </c>
      <c r="P24" s="377"/>
      <c r="Q24" s="313"/>
      <c r="R24" s="377"/>
    </row>
    <row r="25" spans="1:18" ht="12.75">
      <c r="A25" s="341" t="s">
        <v>49</v>
      </c>
      <c r="C25" s="374">
        <v>25054239.090126842</v>
      </c>
      <c r="D25" s="374">
        <v>23947308.926431797</v>
      </c>
      <c r="E25" s="374">
        <v>24778327.71529182</v>
      </c>
      <c r="F25" s="374">
        <v>19673628.478945963</v>
      </c>
      <c r="G25" s="374">
        <v>19705463.919923946</v>
      </c>
      <c r="H25" s="374">
        <v>16973750.19414236</v>
      </c>
      <c r="I25" s="374">
        <v>17470246.348917868</v>
      </c>
      <c r="J25" s="374">
        <v>17355842.138498247</v>
      </c>
      <c r="K25" s="374">
        <v>17678286.16211143</v>
      </c>
      <c r="L25" s="374">
        <v>18075941.83632879</v>
      </c>
      <c r="M25" s="381">
        <v>17672529.14063269</v>
      </c>
      <c r="N25" s="381">
        <v>20392635.20904558</v>
      </c>
      <c r="O25" s="376">
        <f t="shared" si="5"/>
        <v>238778199.16039735</v>
      </c>
      <c r="P25" s="377"/>
      <c r="Q25" s="313"/>
      <c r="R25" s="377"/>
    </row>
    <row r="26" spans="1:18" ht="12.75">
      <c r="A26" s="341" t="s">
        <v>50</v>
      </c>
      <c r="C26" s="382">
        <v>239579439.10776353</v>
      </c>
      <c r="D26" s="382">
        <v>227368670.79070008</v>
      </c>
      <c r="E26" s="382">
        <v>228184562.05384693</v>
      </c>
      <c r="F26" s="382">
        <v>193918198.35243177</v>
      </c>
      <c r="G26" s="382">
        <v>190109868.0163232</v>
      </c>
      <c r="H26" s="382">
        <v>189265281.33373857</v>
      </c>
      <c r="I26" s="382">
        <v>195835281.50903186</v>
      </c>
      <c r="J26" s="382">
        <v>190588359.90718496</v>
      </c>
      <c r="K26" s="382">
        <v>182428741.7169053</v>
      </c>
      <c r="L26" s="382">
        <v>197173592.92362168</v>
      </c>
      <c r="M26" s="381">
        <v>195722404.77944338</v>
      </c>
      <c r="N26" s="381">
        <v>217814041.22912478</v>
      </c>
      <c r="O26" s="376">
        <f t="shared" si="5"/>
        <v>2447988441.7201157</v>
      </c>
      <c r="P26" s="377"/>
      <c r="Q26" s="313"/>
      <c r="R26" s="377"/>
    </row>
    <row r="27" spans="1:18" ht="12.75">
      <c r="A27" s="341" t="s">
        <v>51</v>
      </c>
      <c r="C27" s="374">
        <v>35096557</v>
      </c>
      <c r="D27" s="374">
        <v>30777495</v>
      </c>
      <c r="E27" s="374">
        <v>37224786</v>
      </c>
      <c r="F27" s="374">
        <v>32404250</v>
      </c>
      <c r="G27" s="374">
        <v>33505033</v>
      </c>
      <c r="H27" s="374">
        <v>33139815</v>
      </c>
      <c r="I27" s="374">
        <v>37969360</v>
      </c>
      <c r="J27" s="374">
        <v>38383819</v>
      </c>
      <c r="K27" s="374">
        <v>35811295</v>
      </c>
      <c r="L27" s="374">
        <v>34843162</v>
      </c>
      <c r="M27" s="381">
        <v>32562354</v>
      </c>
      <c r="N27" s="381">
        <v>33174916</v>
      </c>
      <c r="O27" s="376">
        <f t="shared" si="5"/>
        <v>414892842</v>
      </c>
      <c r="P27" s="377"/>
      <c r="Q27" s="313"/>
      <c r="R27" s="377"/>
    </row>
    <row r="28" spans="1:18" ht="12.75">
      <c r="A28" s="341" t="s">
        <v>52</v>
      </c>
      <c r="C28" s="374">
        <v>23892128.986424677</v>
      </c>
      <c r="D28" s="374">
        <v>22187486.98978901</v>
      </c>
      <c r="E28" s="374">
        <v>23823017.566372495</v>
      </c>
      <c r="F28" s="374">
        <v>20227973.185708687</v>
      </c>
      <c r="G28" s="374">
        <v>20827850.85325282</v>
      </c>
      <c r="H28" s="374">
        <v>20267882.116491325</v>
      </c>
      <c r="I28" s="374">
        <v>23069569.723985806</v>
      </c>
      <c r="J28" s="374">
        <v>18904477.829306006</v>
      </c>
      <c r="K28" s="374">
        <v>21239241.473004825</v>
      </c>
      <c r="L28" s="374">
        <v>16608872.26853967</v>
      </c>
      <c r="M28" s="381">
        <v>21265471.90960717</v>
      </c>
      <c r="N28" s="381">
        <v>21488009.28196732</v>
      </c>
      <c r="O28" s="376">
        <f t="shared" si="5"/>
        <v>253801982.18444976</v>
      </c>
      <c r="P28" s="377"/>
      <c r="Q28" s="313"/>
      <c r="R28" s="377"/>
    </row>
    <row r="29" spans="1:18" ht="12.75">
      <c r="A29" s="341" t="s">
        <v>53</v>
      </c>
      <c r="C29" s="374">
        <v>37338669.36657387</v>
      </c>
      <c r="D29" s="374">
        <v>38770685.520580575</v>
      </c>
      <c r="E29" s="374">
        <v>43393092.019857004</v>
      </c>
      <c r="F29" s="374">
        <v>42220873.4699043</v>
      </c>
      <c r="G29" s="374">
        <v>38261549.511217296</v>
      </c>
      <c r="H29" s="374">
        <v>41597947.68831301</v>
      </c>
      <c r="I29" s="374">
        <v>41403757.83794585</v>
      </c>
      <c r="J29" s="374">
        <v>40025150.94381815</v>
      </c>
      <c r="K29" s="374">
        <v>43093385.160355315</v>
      </c>
      <c r="L29" s="374">
        <v>41794995.01671873</v>
      </c>
      <c r="M29" s="381">
        <v>42288936.63727258</v>
      </c>
      <c r="N29" s="381">
        <v>41750306.437419</v>
      </c>
      <c r="O29" s="376">
        <f t="shared" si="5"/>
        <v>491939349.6099757</v>
      </c>
      <c r="P29" s="377"/>
      <c r="Q29" s="313"/>
      <c r="R29" s="377"/>
    </row>
    <row r="30" spans="1:18" ht="12.75">
      <c r="A30" s="341" t="s">
        <v>54</v>
      </c>
      <c r="C30" s="374">
        <v>77413569.44</v>
      </c>
      <c r="D30" s="374">
        <v>72775167.68</v>
      </c>
      <c r="E30" s="374">
        <v>77538009.69</v>
      </c>
      <c r="F30" s="374">
        <v>75612712.44</v>
      </c>
      <c r="G30" s="374">
        <v>76648467</v>
      </c>
      <c r="H30" s="374">
        <v>77452544.22</v>
      </c>
      <c r="I30" s="374">
        <v>77012032.9</v>
      </c>
      <c r="J30" s="374">
        <v>79399380.52000001</v>
      </c>
      <c r="K30" s="374">
        <v>80836843.09</v>
      </c>
      <c r="L30" s="374">
        <v>77490481.31</v>
      </c>
      <c r="M30" s="381">
        <v>77320565.67</v>
      </c>
      <c r="N30" s="381">
        <v>65739881.09</v>
      </c>
      <c r="O30" s="376">
        <f t="shared" si="5"/>
        <v>915239655.05</v>
      </c>
      <c r="P30" s="377"/>
      <c r="Q30" s="313"/>
      <c r="R30" s="377"/>
    </row>
    <row r="31" spans="1:18" ht="12.75">
      <c r="A31" s="341" t="s">
        <v>216</v>
      </c>
      <c r="C31" s="374">
        <v>161260512</v>
      </c>
      <c r="D31" s="374">
        <v>145654656</v>
      </c>
      <c r="E31" s="374">
        <v>159855764</v>
      </c>
      <c r="F31" s="374">
        <v>156058560</v>
      </c>
      <c r="G31" s="374">
        <v>161260512</v>
      </c>
      <c r="H31" s="374">
        <v>156058560</v>
      </c>
      <c r="I31" s="374">
        <v>161260512</v>
      </c>
      <c r="J31" s="374">
        <v>161260512</v>
      </c>
      <c r="K31" s="374">
        <v>88871560</v>
      </c>
      <c r="L31" s="374">
        <v>29673880</v>
      </c>
      <c r="M31" s="381">
        <v>23712264</v>
      </c>
      <c r="N31" s="381">
        <v>26105424</v>
      </c>
      <c r="O31" s="383">
        <f t="shared" si="5"/>
        <v>1431032716</v>
      </c>
      <c r="P31" s="377"/>
      <c r="Q31" s="313"/>
      <c r="R31" s="377"/>
    </row>
    <row r="32" spans="1:18" ht="12.75">
      <c r="A32" s="341" t="s">
        <v>55</v>
      </c>
      <c r="C32" s="374">
        <v>20421066</v>
      </c>
      <c r="D32" s="374">
        <v>19292747</v>
      </c>
      <c r="E32" s="374">
        <v>19378649</v>
      </c>
      <c r="F32" s="374">
        <v>15767063</v>
      </c>
      <c r="G32" s="374">
        <v>14060408</v>
      </c>
      <c r="H32" s="374">
        <v>12650029</v>
      </c>
      <c r="I32" s="374">
        <v>13607616</v>
      </c>
      <c r="J32" s="374">
        <v>13564379</v>
      </c>
      <c r="K32" s="374">
        <v>13258088</v>
      </c>
      <c r="L32" s="374">
        <v>15256829</v>
      </c>
      <c r="M32" s="381">
        <v>15816503</v>
      </c>
      <c r="N32" s="381">
        <v>18272911</v>
      </c>
      <c r="O32" s="376">
        <f t="shared" si="5"/>
        <v>191346288</v>
      </c>
      <c r="P32" s="377"/>
      <c r="Q32" s="313"/>
      <c r="R32" s="377"/>
    </row>
    <row r="33" spans="1:18" ht="12.75">
      <c r="A33" s="341" t="s">
        <v>56</v>
      </c>
      <c r="C33" s="374">
        <v>8861752.24295505</v>
      </c>
      <c r="D33" s="374">
        <v>8916948.142315011</v>
      </c>
      <c r="E33" s="374">
        <v>9926719.6398334</v>
      </c>
      <c r="F33" s="374">
        <v>9225098.637041202</v>
      </c>
      <c r="G33" s="374">
        <v>9906998.59548337</v>
      </c>
      <c r="H33" s="374">
        <v>8951400.126645159</v>
      </c>
      <c r="I33" s="374">
        <v>9337248.837506989</v>
      </c>
      <c r="J33" s="374">
        <v>9533539.786029493</v>
      </c>
      <c r="K33" s="374">
        <v>9875713.277327318</v>
      </c>
      <c r="L33" s="374">
        <v>9289066.42838288</v>
      </c>
      <c r="M33" s="381">
        <v>10238374.46857156</v>
      </c>
      <c r="N33" s="381">
        <v>8881528.10237779</v>
      </c>
      <c r="O33" s="376">
        <f t="shared" si="5"/>
        <v>112944388.2844692</v>
      </c>
      <c r="P33" s="377"/>
      <c r="Q33" s="313"/>
      <c r="R33" s="377"/>
    </row>
    <row r="34" spans="1:16" ht="12.75">
      <c r="A34" s="328" t="s">
        <v>60</v>
      </c>
      <c r="C34" s="377">
        <f>SUM(C24:C33)</f>
        <v>1145047247.078451</v>
      </c>
      <c r="D34" s="377">
        <f aca="true" t="shared" si="7" ref="D34:O34">SUM(D24:D33)</f>
        <v>1060510583.7961146</v>
      </c>
      <c r="E34" s="377">
        <f t="shared" si="7"/>
        <v>1082228725.8287432</v>
      </c>
      <c r="F34" s="377">
        <f t="shared" si="7"/>
        <v>926992401.4439958</v>
      </c>
      <c r="G34" s="377">
        <f t="shared" si="7"/>
        <v>895795272.6351205</v>
      </c>
      <c r="H34" s="377">
        <f t="shared" si="7"/>
        <v>827873242.352039</v>
      </c>
      <c r="I34" s="377">
        <f t="shared" si="7"/>
        <v>840055902.3090795</v>
      </c>
      <c r="J34" s="377">
        <f t="shared" si="7"/>
        <v>832525420.3419129</v>
      </c>
      <c r="K34" s="377">
        <f t="shared" si="7"/>
        <v>758646461.011411</v>
      </c>
      <c r="L34" s="377">
        <f t="shared" si="7"/>
        <v>737206827.5452654</v>
      </c>
      <c r="M34" s="384">
        <f t="shared" si="7"/>
        <v>785514552.0405269</v>
      </c>
      <c r="N34" s="384">
        <f t="shared" si="7"/>
        <v>880200855.6143303</v>
      </c>
      <c r="O34" s="385">
        <f t="shared" si="7"/>
        <v>10772597491.99699</v>
      </c>
      <c r="P34" s="377"/>
    </row>
    <row r="35" spans="3:15" ht="12.75"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84"/>
      <c r="N35" s="384"/>
      <c r="O35" s="385"/>
    </row>
    <row r="36" spans="1:14" ht="12.75">
      <c r="A36" s="328" t="s">
        <v>100</v>
      </c>
      <c r="B36" s="328"/>
      <c r="M36" s="386"/>
      <c r="N36" s="386"/>
    </row>
    <row r="37" spans="1:18" ht="12.75">
      <c r="A37" s="341" t="s">
        <v>83</v>
      </c>
      <c r="C37" s="319">
        <v>15498000</v>
      </c>
      <c r="D37" s="319">
        <v>12474000</v>
      </c>
      <c r="E37" s="319">
        <v>15456000</v>
      </c>
      <c r="F37" s="319">
        <v>14490000</v>
      </c>
      <c r="G37" s="319">
        <v>15498000</v>
      </c>
      <c r="H37" s="319">
        <v>14490000</v>
      </c>
      <c r="I37" s="319">
        <v>15498000</v>
      </c>
      <c r="J37" s="319">
        <v>15498000</v>
      </c>
      <c r="K37" s="319">
        <v>14490000</v>
      </c>
      <c r="L37" s="319">
        <v>15498000</v>
      </c>
      <c r="M37" s="387">
        <v>10094000</v>
      </c>
      <c r="N37" s="387">
        <v>15286546</v>
      </c>
      <c r="O37" s="376">
        <f>SUM(C37:N37)</f>
        <v>174270546</v>
      </c>
      <c r="P37" s="377"/>
      <c r="Q37" s="313"/>
      <c r="R37" s="377"/>
    </row>
    <row r="38" spans="1:18" ht="12.75">
      <c r="A38" s="341" t="s">
        <v>64</v>
      </c>
      <c r="C38" s="334">
        <f>C39+C40</f>
        <v>-454389.73000000045</v>
      </c>
      <c r="D38" s="334">
        <f aca="true" t="shared" si="8" ref="D38:N38">D39+D40</f>
        <v>-212701</v>
      </c>
      <c r="E38" s="334">
        <f t="shared" si="8"/>
        <v>-204956</v>
      </c>
      <c r="F38" s="334">
        <f t="shared" si="8"/>
        <v>97033</v>
      </c>
      <c r="G38" s="334">
        <f t="shared" si="8"/>
        <v>1811286.33</v>
      </c>
      <c r="H38" s="334">
        <f t="shared" si="8"/>
        <v>-59875.139999999665</v>
      </c>
      <c r="I38" s="334">
        <f t="shared" si="8"/>
        <v>2008272</v>
      </c>
      <c r="J38" s="334">
        <f t="shared" si="8"/>
        <v>1500759.79</v>
      </c>
      <c r="K38" s="334">
        <f t="shared" si="8"/>
        <v>589830</v>
      </c>
      <c r="L38" s="334">
        <f>L39+L40</f>
        <v>2739820.4000000004</v>
      </c>
      <c r="M38" s="387">
        <f t="shared" si="8"/>
        <v>9915768.54</v>
      </c>
      <c r="N38" s="387">
        <f t="shared" si="8"/>
        <v>-667663</v>
      </c>
      <c r="O38" s="376">
        <f>SUM(C38:N38)</f>
        <v>17063185.189999998</v>
      </c>
      <c r="P38" s="377"/>
      <c r="Q38" s="313"/>
      <c r="R38" s="377"/>
    </row>
    <row r="39" spans="1:16" ht="12.75">
      <c r="A39" s="341" t="s">
        <v>209</v>
      </c>
      <c r="C39" s="374">
        <v>-783477.7300000004</v>
      </c>
      <c r="D39" s="374">
        <v>-227858</v>
      </c>
      <c r="E39" s="374">
        <v>-235956</v>
      </c>
      <c r="F39" s="374">
        <v>-204727</v>
      </c>
      <c r="G39" s="374">
        <v>1415476.33</v>
      </c>
      <c r="H39" s="374">
        <v>-278700.13999999966</v>
      </c>
      <c r="I39" s="374">
        <v>-255421</v>
      </c>
      <c r="J39" s="374">
        <v>24492.790000000037</v>
      </c>
      <c r="K39" s="374">
        <v>28139</v>
      </c>
      <c r="L39" s="374">
        <v>2330392.4000000004</v>
      </c>
      <c r="M39" s="387">
        <v>9744151.54</v>
      </c>
      <c r="N39" s="387">
        <v>-1441559</v>
      </c>
      <c r="O39" s="376">
        <f>SUM(C39:N39)</f>
        <v>10114953.19</v>
      </c>
      <c r="P39" s="377"/>
    </row>
    <row r="40" spans="1:16" ht="15">
      <c r="A40" s="341" t="s">
        <v>210</v>
      </c>
      <c r="C40" s="321">
        <v>329088</v>
      </c>
      <c r="D40" s="321">
        <v>15157</v>
      </c>
      <c r="E40" s="321">
        <v>31000</v>
      </c>
      <c r="F40" s="321">
        <v>301760</v>
      </c>
      <c r="G40" s="321">
        <v>395810</v>
      </c>
      <c r="H40" s="321">
        <v>218825</v>
      </c>
      <c r="I40" s="321">
        <v>2263693</v>
      </c>
      <c r="J40" s="321">
        <v>1476267</v>
      </c>
      <c r="K40" s="321">
        <v>561691</v>
      </c>
      <c r="L40" s="321">
        <v>409428</v>
      </c>
      <c r="M40" s="387">
        <v>171617</v>
      </c>
      <c r="N40" s="387">
        <v>773896</v>
      </c>
      <c r="O40" s="376">
        <f>SUM(C40:N40)</f>
        <v>6948232</v>
      </c>
      <c r="P40" s="377"/>
    </row>
    <row r="41" spans="1:18" ht="12.75">
      <c r="A41" s="341" t="s">
        <v>120</v>
      </c>
      <c r="C41" s="388">
        <v>15750000</v>
      </c>
      <c r="D41" s="388">
        <v>15750000</v>
      </c>
      <c r="E41" s="388">
        <v>15750000</v>
      </c>
      <c r="F41" s="388">
        <v>15750000</v>
      </c>
      <c r="G41" s="388">
        <v>15750000</v>
      </c>
      <c r="H41" s="388">
        <v>15750000</v>
      </c>
      <c r="I41" s="388">
        <v>15750000</v>
      </c>
      <c r="J41" s="388">
        <v>15750000</v>
      </c>
      <c r="K41" s="388">
        <v>15750000</v>
      </c>
      <c r="L41" s="388">
        <v>15750000</v>
      </c>
      <c r="M41" s="387">
        <v>15538546</v>
      </c>
      <c r="N41" s="387">
        <v>15961454</v>
      </c>
      <c r="O41" s="376">
        <f>SUM(C41:N41)</f>
        <v>189000000</v>
      </c>
      <c r="P41" s="377"/>
      <c r="Q41" s="313"/>
      <c r="R41" s="377"/>
    </row>
    <row r="42" spans="1:15" ht="12.75">
      <c r="A42" s="341" t="s">
        <v>116</v>
      </c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77"/>
    </row>
    <row r="43" spans="1:15" ht="12.75">
      <c r="A43" s="341" t="s">
        <v>242</v>
      </c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</row>
    <row r="44" spans="1:16" ht="12.75">
      <c r="A44" s="341" t="s">
        <v>109</v>
      </c>
      <c r="C44" s="390">
        <f>SUM(C37:C43)-C38</f>
        <v>30793610.27</v>
      </c>
      <c r="D44" s="390">
        <f aca="true" t="shared" si="9" ref="D44:N44">SUM(D37:D43)-D38</f>
        <v>28011299</v>
      </c>
      <c r="E44" s="390">
        <f t="shared" si="9"/>
        <v>31001044</v>
      </c>
      <c r="F44" s="390">
        <f t="shared" si="9"/>
        <v>30337033</v>
      </c>
      <c r="G44" s="390">
        <f t="shared" si="9"/>
        <v>33059286.33</v>
      </c>
      <c r="H44" s="390">
        <f t="shared" si="9"/>
        <v>30180124.86</v>
      </c>
      <c r="I44" s="390">
        <f t="shared" si="9"/>
        <v>33256272</v>
      </c>
      <c r="J44" s="390">
        <f t="shared" si="9"/>
        <v>32748759.79</v>
      </c>
      <c r="K44" s="390">
        <f t="shared" si="9"/>
        <v>30829830</v>
      </c>
      <c r="L44" s="390">
        <f t="shared" si="9"/>
        <v>33987820.4</v>
      </c>
      <c r="M44" s="390">
        <f t="shared" si="9"/>
        <v>35548314.54</v>
      </c>
      <c r="N44" s="390">
        <f t="shared" si="9"/>
        <v>30580337</v>
      </c>
      <c r="O44" s="390">
        <f>SUM(O37:O43)-O38</f>
        <v>380333731.19</v>
      </c>
      <c r="P44" s="377"/>
    </row>
    <row r="45" spans="3:15" ht="12.75"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77"/>
    </row>
    <row r="46" spans="1:16" ht="12.75">
      <c r="A46" s="341" t="s">
        <v>226</v>
      </c>
      <c r="C46" s="390">
        <f>C34+C44</f>
        <v>1175840857.348451</v>
      </c>
      <c r="D46" s="390">
        <f aca="true" t="shared" si="10" ref="D46:M46">D34+D44</f>
        <v>1088521882.7961144</v>
      </c>
      <c r="E46" s="390">
        <f t="shared" si="10"/>
        <v>1113229769.8287432</v>
      </c>
      <c r="F46" s="390">
        <f t="shared" si="10"/>
        <v>957329434.4439958</v>
      </c>
      <c r="G46" s="390">
        <f t="shared" si="10"/>
        <v>928854558.9651206</v>
      </c>
      <c r="H46" s="390">
        <f t="shared" si="10"/>
        <v>858053367.212039</v>
      </c>
      <c r="I46" s="390">
        <f t="shared" si="10"/>
        <v>873312174.3090795</v>
      </c>
      <c r="J46" s="390">
        <f t="shared" si="10"/>
        <v>865274180.1319128</v>
      </c>
      <c r="K46" s="390">
        <f t="shared" si="10"/>
        <v>789476291.011411</v>
      </c>
      <c r="L46" s="390">
        <f t="shared" si="10"/>
        <v>771194647.9452654</v>
      </c>
      <c r="M46" s="390">
        <f t="shared" si="10"/>
        <v>821062866.5805268</v>
      </c>
      <c r="N46" s="390">
        <f>N34+N44</f>
        <v>910781192.6143303</v>
      </c>
      <c r="O46" s="376">
        <f>O34+O44</f>
        <v>11152931223.18699</v>
      </c>
      <c r="P46" s="377"/>
    </row>
    <row r="47" spans="12:16" ht="12.75">
      <c r="L47" s="313"/>
      <c r="P47" s="389"/>
    </row>
    <row r="48" spans="1:15" ht="12.75">
      <c r="A48" s="328" t="s">
        <v>101</v>
      </c>
      <c r="B48" s="391" t="s">
        <v>218</v>
      </c>
      <c r="C48" s="392">
        <v>208000</v>
      </c>
      <c r="D48" s="392">
        <v>60000</v>
      </c>
      <c r="E48" s="392">
        <v>350000</v>
      </c>
      <c r="F48" s="392">
        <v>50000</v>
      </c>
      <c r="G48" s="392">
        <v>176000</v>
      </c>
      <c r="H48" s="392">
        <v>0</v>
      </c>
      <c r="I48" s="392">
        <v>1076000</v>
      </c>
      <c r="J48" s="392">
        <v>1230000</v>
      </c>
      <c r="K48" s="392">
        <v>276000</v>
      </c>
      <c r="L48" s="392">
        <v>966000</v>
      </c>
      <c r="M48" s="393">
        <v>3152000</v>
      </c>
      <c r="N48" s="393">
        <v>1419000</v>
      </c>
      <c r="O48" s="376">
        <f aca="true" t="shared" si="11" ref="O48:O61">SUM(C48:N48)</f>
        <v>8963000</v>
      </c>
    </row>
    <row r="49" spans="1:16" ht="12.75">
      <c r="A49" s="328" t="s">
        <v>176</v>
      </c>
      <c r="B49" s="391" t="s">
        <v>217</v>
      </c>
      <c r="C49" s="392">
        <v>0</v>
      </c>
      <c r="D49" s="392">
        <v>2000</v>
      </c>
      <c r="E49" s="392">
        <v>11000</v>
      </c>
      <c r="F49" s="392">
        <v>2000</v>
      </c>
      <c r="G49" s="392">
        <v>4000</v>
      </c>
      <c r="H49" s="392">
        <v>0</v>
      </c>
      <c r="I49" s="392">
        <v>26000</v>
      </c>
      <c r="J49" s="392">
        <v>33000</v>
      </c>
      <c r="K49" s="392">
        <v>9000</v>
      </c>
      <c r="L49" s="392">
        <v>30000</v>
      </c>
      <c r="M49" s="393">
        <v>65000</v>
      </c>
      <c r="N49" s="393">
        <v>46000</v>
      </c>
      <c r="O49" s="376">
        <f t="shared" si="11"/>
        <v>228000</v>
      </c>
      <c r="P49" s="389"/>
    </row>
    <row r="50" spans="6:15" ht="12.75">
      <c r="F50" s="389"/>
      <c r="M50" s="386"/>
      <c r="N50" s="386"/>
      <c r="O50" s="389"/>
    </row>
    <row r="51" spans="1:15" ht="12.75">
      <c r="A51" s="328" t="s">
        <v>177</v>
      </c>
      <c r="C51" s="392">
        <v>1245505949</v>
      </c>
      <c r="D51" s="392">
        <v>1156314618.0000002</v>
      </c>
      <c r="E51" s="392">
        <v>1184464405.9999998</v>
      </c>
      <c r="F51" s="392">
        <v>1030267577.0000001</v>
      </c>
      <c r="G51" s="392">
        <v>968877822</v>
      </c>
      <c r="H51" s="392">
        <v>894632199.0000002</v>
      </c>
      <c r="I51" s="392">
        <v>940006064.0000001</v>
      </c>
      <c r="J51" s="392">
        <v>930830009.0000001</v>
      </c>
      <c r="K51" s="392">
        <v>825129619</v>
      </c>
      <c r="L51" s="392">
        <v>837703564</v>
      </c>
      <c r="M51" s="393">
        <v>892775687.0000001</v>
      </c>
      <c r="N51" s="393">
        <v>1001384413.9999998</v>
      </c>
      <c r="O51" s="376">
        <f t="shared" si="11"/>
        <v>11907891928</v>
      </c>
    </row>
    <row r="52" spans="1:15" ht="12.75">
      <c r="A52" s="328"/>
      <c r="C52" s="334"/>
      <c r="D52" s="334"/>
      <c r="E52" s="334"/>
      <c r="F52" s="334"/>
      <c r="G52" s="334"/>
      <c r="H52" s="334"/>
      <c r="I52" s="334"/>
      <c r="J52" s="334"/>
      <c r="K52" s="334"/>
      <c r="L52" s="394"/>
      <c r="M52" s="395"/>
      <c r="N52" s="395"/>
      <c r="O52" s="377"/>
    </row>
    <row r="53" spans="1:15" ht="12.75">
      <c r="A53" s="386" t="s">
        <v>58</v>
      </c>
      <c r="B53" s="328"/>
      <c r="C53" s="374">
        <v>159693344</v>
      </c>
      <c r="D53" s="374">
        <v>150509400</v>
      </c>
      <c r="E53" s="374">
        <v>169463371</v>
      </c>
      <c r="F53" s="374">
        <v>169151051</v>
      </c>
      <c r="G53" s="374">
        <v>178375532</v>
      </c>
      <c r="H53" s="374">
        <v>156522315</v>
      </c>
      <c r="I53" s="374">
        <v>178918489</v>
      </c>
      <c r="J53" s="374">
        <v>163566049</v>
      </c>
      <c r="K53" s="374">
        <v>85857834</v>
      </c>
      <c r="L53" s="374">
        <v>25729147</v>
      </c>
      <c r="M53" s="393">
        <v>19565350</v>
      </c>
      <c r="N53" s="393">
        <v>17368086</v>
      </c>
      <c r="O53" s="376">
        <f t="shared" si="11"/>
        <v>1474719968</v>
      </c>
    </row>
    <row r="54" spans="1:15" ht="12.75">
      <c r="A54" s="341" t="s">
        <v>152</v>
      </c>
      <c r="C54" s="396">
        <v>911840.5199999999</v>
      </c>
      <c r="D54" s="396">
        <v>748427.42</v>
      </c>
      <c r="E54" s="396">
        <v>967173.93</v>
      </c>
      <c r="F54" s="396">
        <v>1082079.22</v>
      </c>
      <c r="G54" s="396">
        <v>1231461.8499999999</v>
      </c>
      <c r="H54" s="396">
        <v>891466.96</v>
      </c>
      <c r="I54" s="396">
        <v>1185488.98</v>
      </c>
      <c r="J54" s="396">
        <v>837950.6</v>
      </c>
      <c r="K54" s="396">
        <v>315620.7</v>
      </c>
      <c r="L54" s="396">
        <v>166058.16</v>
      </c>
      <c r="M54" s="393">
        <v>126482.96</v>
      </c>
      <c r="N54" s="393">
        <v>129809.58</v>
      </c>
      <c r="O54" s="376">
        <f t="shared" si="11"/>
        <v>8593860.879999999</v>
      </c>
    </row>
    <row r="55" spans="1:15" ht="12.75">
      <c r="A55" s="341" t="s">
        <v>151</v>
      </c>
      <c r="C55" s="397">
        <v>-1382121.7523976963</v>
      </c>
      <c r="D55" s="397">
        <v>-537284.2065489651</v>
      </c>
      <c r="E55" s="397">
        <v>-556069.43</v>
      </c>
      <c r="F55" s="397">
        <v>-465880.50847775594</v>
      </c>
      <c r="G55" s="397">
        <v>-440559.5536879165</v>
      </c>
      <c r="H55" s="397">
        <v>-875870.1575196779</v>
      </c>
      <c r="I55" s="397">
        <v>-436122.0411785896</v>
      </c>
      <c r="J55" s="397">
        <v>-743442.389338159</v>
      </c>
      <c r="K55" s="397">
        <v>-462807.23000000004</v>
      </c>
      <c r="L55" s="397">
        <v>-187649.36000000002</v>
      </c>
      <c r="M55" s="393">
        <v>-284762.49</v>
      </c>
      <c r="N55" s="393">
        <v>-245499.41999999998</v>
      </c>
      <c r="O55" s="376">
        <f t="shared" si="11"/>
        <v>-6618068.539148761</v>
      </c>
    </row>
    <row r="56" spans="12:16" ht="12.75">
      <c r="L56" s="313"/>
      <c r="P56" s="389"/>
    </row>
    <row r="57" spans="1:16" ht="12.75">
      <c r="A57" s="341" t="s">
        <v>153</v>
      </c>
      <c r="C57" s="374">
        <v>161260512</v>
      </c>
      <c r="D57" s="374">
        <v>145654656</v>
      </c>
      <c r="E57" s="374">
        <v>159855764</v>
      </c>
      <c r="F57" s="374">
        <v>156058560</v>
      </c>
      <c r="G57" s="374">
        <v>161260512</v>
      </c>
      <c r="H57" s="374">
        <v>156058560</v>
      </c>
      <c r="I57" s="374">
        <v>161260512</v>
      </c>
      <c r="J57" s="374">
        <v>161260512</v>
      </c>
      <c r="K57" s="374">
        <v>88871560</v>
      </c>
      <c r="L57" s="374">
        <v>29673880</v>
      </c>
      <c r="M57" s="393">
        <v>23712264</v>
      </c>
      <c r="N57" s="393">
        <v>26105424</v>
      </c>
      <c r="O57" s="376">
        <f t="shared" si="11"/>
        <v>1431032716</v>
      </c>
      <c r="P57" s="389"/>
    </row>
    <row r="58" spans="1:15" ht="12.75">
      <c r="A58" s="341" t="s">
        <v>154</v>
      </c>
      <c r="C58" s="374">
        <v>15012564</v>
      </c>
      <c r="D58" s="374">
        <v>15056207</v>
      </c>
      <c r="E58" s="374">
        <v>19570553</v>
      </c>
      <c r="F58" s="374">
        <v>22121606</v>
      </c>
      <c r="G58" s="374">
        <v>25816712</v>
      </c>
      <c r="H58" s="374">
        <v>18695903</v>
      </c>
      <c r="I58" s="374">
        <v>24667696</v>
      </c>
      <c r="J58" s="374">
        <v>18538699</v>
      </c>
      <c r="K58" s="374">
        <v>7469484</v>
      </c>
      <c r="L58" s="374">
        <v>4011648</v>
      </c>
      <c r="M58" s="393">
        <v>2844929</v>
      </c>
      <c r="N58" s="393">
        <v>2888763</v>
      </c>
      <c r="O58" s="376">
        <f t="shared" si="11"/>
        <v>176694764</v>
      </c>
    </row>
    <row r="59" spans="1:15" ht="12.75">
      <c r="A59" s="341" t="s">
        <v>155</v>
      </c>
      <c r="C59" s="374">
        <v>-16394033</v>
      </c>
      <c r="D59" s="374">
        <v>-9633548</v>
      </c>
      <c r="E59" s="374">
        <v>-9749308</v>
      </c>
      <c r="F59" s="374">
        <v>-9029115</v>
      </c>
      <c r="G59" s="374">
        <v>-8698066</v>
      </c>
      <c r="H59" s="374">
        <v>-16296224</v>
      </c>
      <c r="I59" s="374">
        <v>-6472319</v>
      </c>
      <c r="J59" s="374">
        <v>-15467061</v>
      </c>
      <c r="K59" s="374">
        <v>-10285444</v>
      </c>
      <c r="L59" s="374">
        <v>-4192415</v>
      </c>
      <c r="M59" s="393">
        <v>-3702467</v>
      </c>
      <c r="N59" s="393">
        <v>-4288486</v>
      </c>
      <c r="O59" s="376">
        <f t="shared" si="11"/>
        <v>-114208486</v>
      </c>
    </row>
    <row r="60" spans="1:15" ht="12.75">
      <c r="A60" s="341" t="s">
        <v>156</v>
      </c>
      <c r="C60" s="374">
        <v>-185699</v>
      </c>
      <c r="D60" s="374">
        <v>-567915</v>
      </c>
      <c r="E60" s="374">
        <v>-213638</v>
      </c>
      <c r="F60" s="374">
        <v>0</v>
      </c>
      <c r="G60" s="374">
        <v>-3626</v>
      </c>
      <c r="H60" s="374">
        <v>-1935924</v>
      </c>
      <c r="I60" s="374">
        <v>-537400</v>
      </c>
      <c r="J60" s="374">
        <v>-766101</v>
      </c>
      <c r="K60" s="374">
        <v>-197766</v>
      </c>
      <c r="L60" s="374">
        <v>-3763966</v>
      </c>
      <c r="M60" s="393">
        <v>-3289376</v>
      </c>
      <c r="N60" s="393">
        <v>-7337615</v>
      </c>
      <c r="O60" s="376">
        <f t="shared" si="11"/>
        <v>-18799026</v>
      </c>
    </row>
    <row r="61" spans="1:16" ht="12.75">
      <c r="A61" s="341" t="s">
        <v>215</v>
      </c>
      <c r="C61" s="334">
        <f>SUM(C58:C60)</f>
        <v>-1567168</v>
      </c>
      <c r="D61" s="334">
        <f aca="true" t="shared" si="12" ref="D61:N61">SUM(D58:D60)</f>
        <v>4854744</v>
      </c>
      <c r="E61" s="334">
        <f t="shared" si="12"/>
        <v>9607607</v>
      </c>
      <c r="F61" s="334">
        <f t="shared" si="12"/>
        <v>13092491</v>
      </c>
      <c r="G61" s="334">
        <f t="shared" si="12"/>
        <v>17115020</v>
      </c>
      <c r="H61" s="334">
        <f t="shared" si="12"/>
        <v>463755</v>
      </c>
      <c r="I61" s="334">
        <f t="shared" si="12"/>
        <v>17657977</v>
      </c>
      <c r="J61" s="334">
        <f t="shared" si="12"/>
        <v>2305537</v>
      </c>
      <c r="K61" s="334">
        <f t="shared" si="12"/>
        <v>-3013726</v>
      </c>
      <c r="L61" s="334">
        <f t="shared" si="12"/>
        <v>-3944733</v>
      </c>
      <c r="M61" s="334">
        <f t="shared" si="12"/>
        <v>-4146914</v>
      </c>
      <c r="N61" s="334">
        <f t="shared" si="12"/>
        <v>-8737338</v>
      </c>
      <c r="O61" s="376">
        <f t="shared" si="11"/>
        <v>43687252</v>
      </c>
      <c r="P61" s="389"/>
    </row>
    <row r="62" spans="3:15" ht="12.75">
      <c r="C62" s="389"/>
      <c r="D62" s="389"/>
      <c r="E62" s="389"/>
      <c r="F62" s="389"/>
      <c r="G62" s="389"/>
      <c r="H62" s="389"/>
      <c r="I62" s="389"/>
      <c r="J62" s="389"/>
      <c r="K62" s="389"/>
      <c r="L62" s="389"/>
      <c r="M62" s="389"/>
      <c r="N62" s="389"/>
      <c r="O62" s="389"/>
    </row>
    <row r="64" spans="1:2" ht="15.75">
      <c r="A64" s="345" t="s">
        <v>157</v>
      </c>
      <c r="B64" s="345"/>
    </row>
    <row r="65" spans="1:2" ht="15.75">
      <c r="A65" s="345"/>
      <c r="B65" s="345"/>
    </row>
    <row r="66" spans="1:2" ht="12.75">
      <c r="A66" s="328" t="s">
        <v>41</v>
      </c>
      <c r="B66" s="328"/>
    </row>
    <row r="67" spans="1:20" ht="12.75">
      <c r="A67" s="373" t="s">
        <v>105</v>
      </c>
      <c r="B67" s="373"/>
      <c r="C67" s="398">
        <v>24469690.769372813</v>
      </c>
      <c r="D67" s="398">
        <v>22321548.595351998</v>
      </c>
      <c r="E67" s="398">
        <v>21719744.089985296</v>
      </c>
      <c r="F67" s="398">
        <v>17156922.52034909</v>
      </c>
      <c r="G67" s="398">
        <v>15716847.461642195</v>
      </c>
      <c r="H67" s="398">
        <v>12872575.109013112</v>
      </c>
      <c r="I67" s="398">
        <v>12473110.03976168</v>
      </c>
      <c r="J67" s="398">
        <v>12493007.166481579</v>
      </c>
      <c r="K67" s="398">
        <v>12589882.291114222</v>
      </c>
      <c r="L67" s="398">
        <v>14080770.320570944</v>
      </c>
      <c r="M67" s="393">
        <v>16542067.187303325</v>
      </c>
      <c r="N67" s="393">
        <v>20224214.846765004</v>
      </c>
      <c r="O67" s="389">
        <f aca="true" t="shared" si="13" ref="O67:O86">SUM(C67:N67)</f>
        <v>202660380.39771125</v>
      </c>
      <c r="Q67" s="399"/>
      <c r="R67" s="399"/>
      <c r="S67" s="389"/>
      <c r="T67" s="389"/>
    </row>
    <row r="68" spans="1:20" ht="12.75">
      <c r="A68" s="341" t="s">
        <v>49</v>
      </c>
      <c r="C68" s="398">
        <v>1221644.6980345848</v>
      </c>
      <c r="D68" s="398">
        <v>1167670.7832528143</v>
      </c>
      <c r="E68" s="398">
        <v>1208191.2593976292</v>
      </c>
      <c r="F68" s="398">
        <v>959286.1246334051</v>
      </c>
      <c r="G68" s="398">
        <v>960838.4207354916</v>
      </c>
      <c r="H68" s="398">
        <v>827640.0594663814</v>
      </c>
      <c r="I68" s="398">
        <v>851849.2119732352</v>
      </c>
      <c r="J68" s="398">
        <v>846270.8626731745</v>
      </c>
      <c r="K68" s="398">
        <v>861993.2332645534</v>
      </c>
      <c r="L68" s="398">
        <v>881382.9239393917</v>
      </c>
      <c r="M68" s="393">
        <v>861712.5208972499</v>
      </c>
      <c r="N68" s="393">
        <v>994344.8927930625</v>
      </c>
      <c r="O68" s="389">
        <f t="shared" si="13"/>
        <v>11642824.991060976</v>
      </c>
      <c r="Q68" s="399"/>
      <c r="R68" s="399"/>
      <c r="S68" s="389"/>
      <c r="T68" s="389"/>
    </row>
    <row r="69" spans="1:20" ht="12.75">
      <c r="A69" s="341" t="s">
        <v>50</v>
      </c>
      <c r="C69" s="398">
        <v>11842411.675096752</v>
      </c>
      <c r="D69" s="398">
        <v>11238833.397184305</v>
      </c>
      <c r="E69" s="398">
        <v>11279162.902321653</v>
      </c>
      <c r="F69" s="398">
        <v>9585376.544560703</v>
      </c>
      <c r="G69" s="398">
        <v>9397130.776046857</v>
      </c>
      <c r="H69" s="398">
        <v>9355382.856326697</v>
      </c>
      <c r="I69" s="398">
        <v>9680137.964991445</v>
      </c>
      <c r="J69" s="398">
        <v>9420782.630212152</v>
      </c>
      <c r="K69" s="398">
        <v>9017452.703066628</v>
      </c>
      <c r="L69" s="398">
        <v>9746290.69821462</v>
      </c>
      <c r="M69" s="393">
        <v>9674558.468247887</v>
      </c>
      <c r="N69" s="393">
        <v>10766548.057955638</v>
      </c>
      <c r="O69" s="389">
        <f t="shared" si="13"/>
        <v>121004068.67422535</v>
      </c>
      <c r="Q69" s="399"/>
      <c r="R69" s="399"/>
      <c r="S69" s="389"/>
      <c r="T69" s="389"/>
    </row>
    <row r="70" spans="1:20" ht="12.75">
      <c r="A70" s="341" t="s">
        <v>51</v>
      </c>
      <c r="C70" s="398">
        <v>1593734.6533700002</v>
      </c>
      <c r="D70" s="398">
        <v>1397606.04795</v>
      </c>
      <c r="E70" s="398">
        <v>1690377.5322599998</v>
      </c>
      <c r="F70" s="398">
        <v>1471476.9925000002</v>
      </c>
      <c r="G70" s="398">
        <v>1521463.54853</v>
      </c>
      <c r="H70" s="398">
        <v>1504878.9991499998</v>
      </c>
      <c r="I70" s="398">
        <v>1724188.6375999996</v>
      </c>
      <c r="J70" s="398">
        <v>1743009.22079</v>
      </c>
      <c r="K70" s="398">
        <v>1626190.90595</v>
      </c>
      <c r="L70" s="398">
        <v>1582227.9864199997</v>
      </c>
      <c r="M70" s="393">
        <v>1478656.4951399998</v>
      </c>
      <c r="N70" s="393">
        <v>1506472.9355600001</v>
      </c>
      <c r="O70" s="389">
        <f t="shared" si="13"/>
        <v>18840283.95522</v>
      </c>
      <c r="Q70" s="399"/>
      <c r="R70" s="399"/>
      <c r="S70" s="389"/>
      <c r="T70" s="389"/>
    </row>
    <row r="71" spans="1:20" ht="12.75">
      <c r="A71" s="341" t="s">
        <v>52</v>
      </c>
      <c r="C71" s="398">
        <v>1115284.5810863038</v>
      </c>
      <c r="D71" s="398">
        <v>1035711.892683351</v>
      </c>
      <c r="E71" s="398">
        <v>1112058.4599982682</v>
      </c>
      <c r="F71" s="398">
        <v>944241.7883088815</v>
      </c>
      <c r="G71" s="398">
        <v>972244.0778298416</v>
      </c>
      <c r="H71" s="398">
        <v>946104.7371978151</v>
      </c>
      <c r="I71" s="398">
        <v>1076887.5147156573</v>
      </c>
      <c r="J71" s="398">
        <v>882461.0250720044</v>
      </c>
      <c r="K71" s="398">
        <v>991447.7919598653</v>
      </c>
      <c r="L71" s="398">
        <v>775302.1574954318</v>
      </c>
      <c r="M71" s="393">
        <v>992672.2287404626</v>
      </c>
      <c r="N71" s="393">
        <v>1003060.2732822344</v>
      </c>
      <c r="O71" s="389">
        <f t="shared" si="13"/>
        <v>11847476.528370118</v>
      </c>
      <c r="Q71" s="399"/>
      <c r="R71" s="399"/>
      <c r="S71" s="389"/>
      <c r="T71" s="389"/>
    </row>
    <row r="72" spans="1:20" ht="12.75">
      <c r="A72" s="341" t="s">
        <v>53</v>
      </c>
      <c r="C72" s="398">
        <v>1714965.084006738</v>
      </c>
      <c r="D72" s="398">
        <v>1780737.5859602657</v>
      </c>
      <c r="E72" s="398">
        <v>1993044.7164720322</v>
      </c>
      <c r="F72" s="398">
        <v>1939204.7184727045</v>
      </c>
      <c r="G72" s="398">
        <v>1757352.9690502104</v>
      </c>
      <c r="H72" s="398">
        <v>1910593.7373242164</v>
      </c>
      <c r="I72" s="398">
        <v>1901674.5974968527</v>
      </c>
      <c r="J72" s="398">
        <v>1838355.1828495676</v>
      </c>
      <c r="K72" s="398">
        <v>1979279.1804151195</v>
      </c>
      <c r="L72" s="398">
        <v>1919644.1211178913</v>
      </c>
      <c r="M72" s="393">
        <v>1942330.8597499295</v>
      </c>
      <c r="N72" s="393">
        <v>1917591.5746706545</v>
      </c>
      <c r="O72" s="389">
        <f t="shared" si="13"/>
        <v>22594774.327586178</v>
      </c>
      <c r="Q72" s="399"/>
      <c r="R72" s="399"/>
      <c r="S72" s="389"/>
      <c r="T72" s="389"/>
    </row>
    <row r="73" spans="1:20" ht="12.75">
      <c r="A73" s="341" t="s">
        <v>54</v>
      </c>
      <c r="C73" s="398">
        <v>3407745.3267488</v>
      </c>
      <c r="D73" s="398">
        <v>3203562.8812735993</v>
      </c>
      <c r="E73" s="398">
        <v>3413223.1865538</v>
      </c>
      <c r="F73" s="398">
        <v>3328471.6016088</v>
      </c>
      <c r="G73" s="398">
        <v>3374065.51734</v>
      </c>
      <c r="H73" s="398">
        <v>3409460.9965643995</v>
      </c>
      <c r="I73" s="398">
        <v>3390069.6882579997</v>
      </c>
      <c r="J73" s="398">
        <v>3495160.7304903995</v>
      </c>
      <c r="K73" s="398">
        <v>3558437.8328218004</v>
      </c>
      <c r="L73" s="398">
        <v>3411130.9872661997</v>
      </c>
      <c r="M73" s="393">
        <v>3403651.3007933996</v>
      </c>
      <c r="N73" s="393">
        <v>2893869.5655817995</v>
      </c>
      <c r="O73" s="389">
        <f t="shared" si="13"/>
        <v>40288849.615301</v>
      </c>
      <c r="Q73" s="399"/>
      <c r="R73" s="399"/>
      <c r="S73" s="389"/>
      <c r="T73" s="389"/>
    </row>
    <row r="74" spans="1:20" ht="12.75">
      <c r="A74" s="341" t="s">
        <v>58</v>
      </c>
      <c r="C74" s="398">
        <v>6431717.28309</v>
      </c>
      <c r="D74" s="398">
        <v>5793313.5681300005</v>
      </c>
      <c r="E74" s="398">
        <v>6374510.09118</v>
      </c>
      <c r="F74" s="398">
        <v>6231418.3008</v>
      </c>
      <c r="G74" s="398">
        <v>6438987.4579799995</v>
      </c>
      <c r="H74" s="398">
        <v>6154116.85548</v>
      </c>
      <c r="I74" s="398">
        <v>6417673.86216</v>
      </c>
      <c r="J74" s="398">
        <v>6408541.83123</v>
      </c>
      <c r="K74" s="398">
        <v>3540744.5944200004</v>
      </c>
      <c r="L74" s="398">
        <v>1034582.8660200001</v>
      </c>
      <c r="M74" s="393">
        <v>815485.91784</v>
      </c>
      <c r="N74" s="393">
        <v>749398.6133699999</v>
      </c>
      <c r="O74" s="389">
        <f t="shared" si="13"/>
        <v>56390491.24169999</v>
      </c>
      <c r="Q74" s="399"/>
      <c r="R74" s="399"/>
      <c r="S74" s="389"/>
      <c r="T74" s="389"/>
    </row>
    <row r="75" spans="1:20" ht="12.75">
      <c r="A75" s="341" t="s">
        <v>55</v>
      </c>
      <c r="C75" s="398">
        <v>926707.97508</v>
      </c>
      <c r="D75" s="398">
        <v>875504.8588599999</v>
      </c>
      <c r="E75" s="398">
        <v>879403.09162</v>
      </c>
      <c r="F75" s="398">
        <v>715509.3189399999</v>
      </c>
      <c r="G75" s="398">
        <v>638061.3150399999</v>
      </c>
      <c r="H75" s="398">
        <v>574058.31602</v>
      </c>
      <c r="I75" s="398">
        <v>617513.6140800001</v>
      </c>
      <c r="J75" s="398">
        <v>615551.51902</v>
      </c>
      <c r="K75" s="398">
        <v>601652.0334399999</v>
      </c>
      <c r="L75" s="398">
        <v>692354.9000200001</v>
      </c>
      <c r="M75" s="393">
        <v>717752.90614</v>
      </c>
      <c r="N75" s="393">
        <v>829224.7011799999</v>
      </c>
      <c r="O75" s="389">
        <f t="shared" si="13"/>
        <v>8683294.549439998</v>
      </c>
      <c r="Q75" s="399"/>
      <c r="R75" s="399"/>
      <c r="S75" s="389"/>
      <c r="T75" s="389"/>
    </row>
    <row r="76" spans="1:20" ht="12.75">
      <c r="A76" s="341" t="s">
        <v>56</v>
      </c>
      <c r="C76" s="398">
        <v>426781.9880207152</v>
      </c>
      <c r="D76" s="398">
        <v>429440.222533891</v>
      </c>
      <c r="E76" s="398">
        <v>478070.81785437657</v>
      </c>
      <c r="F76" s="398">
        <v>444280.7503599043</v>
      </c>
      <c r="G76" s="398">
        <v>477121.0523584791</v>
      </c>
      <c r="H76" s="398">
        <v>431099.43009923084</v>
      </c>
      <c r="I76" s="398">
        <v>449681.9040143366</v>
      </c>
      <c r="J76" s="398">
        <v>459135.2760951804</v>
      </c>
      <c r="K76" s="398">
        <v>475614.3514360836</v>
      </c>
      <c r="L76" s="398">
        <v>447361.43919091945</v>
      </c>
      <c r="M76" s="393">
        <v>493080.11440640636</v>
      </c>
      <c r="N76" s="393">
        <v>427734.39341051434</v>
      </c>
      <c r="O76" s="400">
        <f t="shared" si="13"/>
        <v>5439401.739780037</v>
      </c>
      <c r="Q76" s="399"/>
      <c r="R76" s="399"/>
      <c r="S76" s="389"/>
      <c r="T76" s="389"/>
    </row>
    <row r="77" spans="1:17" ht="12.75">
      <c r="A77" s="341" t="s">
        <v>118</v>
      </c>
      <c r="C77" s="389">
        <f>SUM(C67:C76)</f>
        <v>53150684.033906706</v>
      </c>
      <c r="D77" s="389">
        <f aca="true" t="shared" si="14" ref="D77:N77">SUM(D67:D76)</f>
        <v>49243929.83318022</v>
      </c>
      <c r="E77" s="389">
        <f t="shared" si="14"/>
        <v>50147786.147643045</v>
      </c>
      <c r="F77" s="389">
        <f t="shared" si="14"/>
        <v>42776188.66053349</v>
      </c>
      <c r="G77" s="389">
        <f t="shared" si="14"/>
        <v>41254112.59655307</v>
      </c>
      <c r="H77" s="389">
        <f t="shared" si="14"/>
        <v>37985911.09664185</v>
      </c>
      <c r="I77" s="389">
        <f t="shared" si="14"/>
        <v>38582787.0350512</v>
      </c>
      <c r="J77" s="389">
        <f t="shared" si="14"/>
        <v>38202275.44491406</v>
      </c>
      <c r="K77" s="389">
        <f t="shared" si="14"/>
        <v>35242694.91788828</v>
      </c>
      <c r="L77" s="389">
        <f t="shared" si="14"/>
        <v>34571048.4002554</v>
      </c>
      <c r="M77" s="389">
        <f t="shared" si="14"/>
        <v>36921967.99925865</v>
      </c>
      <c r="N77" s="389">
        <f t="shared" si="14"/>
        <v>41312459.854568906</v>
      </c>
      <c r="O77" s="389">
        <f>SUM(C77:N77)</f>
        <v>499391846.02039486</v>
      </c>
      <c r="Q77" s="399"/>
    </row>
    <row r="78" ht="12.75">
      <c r="O78" s="389"/>
    </row>
    <row r="79" spans="1:15" ht="12.75">
      <c r="A79" s="328" t="s">
        <v>100</v>
      </c>
      <c r="B79" s="328"/>
      <c r="O79" s="389"/>
    </row>
    <row r="80" spans="1:15" ht="12.75">
      <c r="A80" s="341" t="s">
        <v>83</v>
      </c>
      <c r="C80" s="398">
        <v>887415.48</v>
      </c>
      <c r="D80" s="398">
        <v>714261.24</v>
      </c>
      <c r="E80" s="398">
        <v>885010.5599999999</v>
      </c>
      <c r="F80" s="398">
        <v>829697.4</v>
      </c>
      <c r="G80" s="398">
        <v>887415.48</v>
      </c>
      <c r="H80" s="398">
        <v>829697.4</v>
      </c>
      <c r="I80" s="398">
        <v>887415.48</v>
      </c>
      <c r="J80" s="398">
        <v>887415.48</v>
      </c>
      <c r="K80" s="398">
        <v>829697.4</v>
      </c>
      <c r="L80" s="398">
        <v>887415.48</v>
      </c>
      <c r="M80" s="393">
        <v>577982.44</v>
      </c>
      <c r="N80" s="393">
        <v>875307.62396</v>
      </c>
      <c r="O80" s="389">
        <f t="shared" si="13"/>
        <v>9978731.463960001</v>
      </c>
    </row>
    <row r="81" spans="1:15" ht="12.75">
      <c r="A81" s="341" t="s">
        <v>64</v>
      </c>
      <c r="O81" s="389"/>
    </row>
    <row r="82" spans="1:15" ht="12.75">
      <c r="A82" s="341" t="s">
        <v>120</v>
      </c>
      <c r="O82" s="389"/>
    </row>
    <row r="83" spans="1:15" ht="12.75">
      <c r="A83" s="341" t="s">
        <v>116</v>
      </c>
      <c r="C83" s="401"/>
      <c r="D83" s="401"/>
      <c r="E83" s="401">
        <v>171440.1727324998</v>
      </c>
      <c r="F83" s="401">
        <v>-171440.1727324998</v>
      </c>
      <c r="G83" s="401">
        <v>0</v>
      </c>
      <c r="H83" s="401">
        <v>0</v>
      </c>
      <c r="I83" s="401">
        <v>0</v>
      </c>
      <c r="J83" s="401">
        <v>0</v>
      </c>
      <c r="K83" s="401">
        <v>0</v>
      </c>
      <c r="L83" s="401">
        <v>0</v>
      </c>
      <c r="M83" s="401">
        <v>0</v>
      </c>
      <c r="N83" s="401">
        <v>0</v>
      </c>
      <c r="O83" s="400">
        <f t="shared" si="13"/>
        <v>0</v>
      </c>
    </row>
    <row r="84" spans="1:15" ht="12.75">
      <c r="A84" s="341" t="s">
        <v>118</v>
      </c>
      <c r="C84" s="341">
        <f>SUM(C80:C83)</f>
        <v>887415.48</v>
      </c>
      <c r="D84" s="341">
        <f aca="true" t="shared" si="15" ref="D84:K84">SUM(D80:D83)</f>
        <v>714261.24</v>
      </c>
      <c r="E84" s="341">
        <f t="shared" si="15"/>
        <v>1056450.7327324997</v>
      </c>
      <c r="F84" s="341">
        <f t="shared" si="15"/>
        <v>658257.2272675002</v>
      </c>
      <c r="G84" s="341">
        <f t="shared" si="15"/>
        <v>887415.48</v>
      </c>
      <c r="H84" s="341">
        <f t="shared" si="15"/>
        <v>829697.4</v>
      </c>
      <c r="I84" s="341">
        <f t="shared" si="15"/>
        <v>887415.48</v>
      </c>
      <c r="J84" s="341">
        <f t="shared" si="15"/>
        <v>887415.48</v>
      </c>
      <c r="K84" s="341">
        <f t="shared" si="15"/>
        <v>829697.4</v>
      </c>
      <c r="L84" s="341">
        <f>SUM(L80:L83)</f>
        <v>887415.48</v>
      </c>
      <c r="M84" s="341">
        <f>SUM(M80:M83)</f>
        <v>577982.44</v>
      </c>
      <c r="N84" s="341">
        <f>SUM(N80:N83)</f>
        <v>875307.62396</v>
      </c>
      <c r="O84" s="389">
        <f t="shared" si="13"/>
        <v>9978731.463960001</v>
      </c>
    </row>
    <row r="85" spans="3:15" ht="12.75">
      <c r="C85" s="402"/>
      <c r="O85" s="389"/>
    </row>
    <row r="86" spans="1:15" ht="12.75">
      <c r="A86" s="341" t="s">
        <v>47</v>
      </c>
      <c r="C86" s="389">
        <f>C77+C84</f>
        <v>54038099.5139067</v>
      </c>
      <c r="D86" s="389">
        <f aca="true" t="shared" si="16" ref="D86:J86">D77+D84</f>
        <v>49958191.07318022</v>
      </c>
      <c r="E86" s="389">
        <f t="shared" si="16"/>
        <v>51204236.88037554</v>
      </c>
      <c r="F86" s="389">
        <f t="shared" si="16"/>
        <v>43434445.88780099</v>
      </c>
      <c r="G86" s="389">
        <f t="shared" si="16"/>
        <v>42141528.07655307</v>
      </c>
      <c r="H86" s="389">
        <f t="shared" si="16"/>
        <v>38815608.49664185</v>
      </c>
      <c r="I86" s="389">
        <f t="shared" si="16"/>
        <v>39470202.51505119</v>
      </c>
      <c r="J86" s="389">
        <f t="shared" si="16"/>
        <v>39089690.924914055</v>
      </c>
      <c r="K86" s="389">
        <f>K77+K84</f>
        <v>36072392.317888275</v>
      </c>
      <c r="L86" s="389">
        <f>L77+L84</f>
        <v>35458463.88025539</v>
      </c>
      <c r="M86" s="377">
        <f>M77+M84</f>
        <v>37499950.43925865</v>
      </c>
      <c r="N86" s="389">
        <f>N77+N84</f>
        <v>42187767.47852891</v>
      </c>
      <c r="O86" s="389">
        <f t="shared" si="13"/>
        <v>509370577.48435485</v>
      </c>
    </row>
    <row r="87" ht="12.75">
      <c r="O87" s="389"/>
    </row>
    <row r="88" spans="1:2" ht="12.75">
      <c r="A88" s="328" t="s">
        <v>187</v>
      </c>
      <c r="B88" s="328"/>
    </row>
    <row r="89" spans="1:2" ht="12.75">
      <c r="A89" s="328"/>
      <c r="B89" s="328"/>
    </row>
    <row r="90" ht="12.75">
      <c r="A90" s="328" t="s">
        <v>41</v>
      </c>
    </row>
    <row r="91" spans="1:15" ht="12.75">
      <c r="A91" s="373" t="s">
        <v>103</v>
      </c>
      <c r="B91" s="403">
        <v>4.741</v>
      </c>
      <c r="C91" s="347">
        <f aca="true" t="shared" si="17" ref="C91:N91">C22*$B91/100</f>
        <v>23306629.936810013</v>
      </c>
      <c r="D91" s="347">
        <f t="shared" si="17"/>
        <v>21203509.441290002</v>
      </c>
      <c r="E91" s="347">
        <f t="shared" si="17"/>
        <v>20603608.19468463</v>
      </c>
      <c r="F91" s="347">
        <f t="shared" si="17"/>
        <v>16253604.088018727</v>
      </c>
      <c r="G91" s="347">
        <f t="shared" si="17"/>
        <v>15073761.20077392</v>
      </c>
      <c r="H91" s="347">
        <f t="shared" si="17"/>
        <v>12439196.743120395</v>
      </c>
      <c r="I91" s="347">
        <f t="shared" si="17"/>
        <v>12128734.577592209</v>
      </c>
      <c r="J91" s="347">
        <f t="shared" si="17"/>
        <v>12140206.026215054</v>
      </c>
      <c r="K91" s="347">
        <f t="shared" si="17"/>
        <v>12195081.628574848</v>
      </c>
      <c r="L91" s="347">
        <f t="shared" si="17"/>
        <v>13548512.627650438</v>
      </c>
      <c r="M91" s="347">
        <f t="shared" si="17"/>
        <v>15710117.080122396</v>
      </c>
      <c r="N91" s="347">
        <f t="shared" si="17"/>
        <v>18957451.52484502</v>
      </c>
      <c r="O91" s="347">
        <f>SUM(B91:N91)</f>
        <v>193560417.81069767</v>
      </c>
    </row>
    <row r="92" spans="1:15" ht="12.75">
      <c r="A92" s="373" t="s">
        <v>104</v>
      </c>
      <c r="B92" s="403">
        <v>4.741</v>
      </c>
      <c r="C92" s="347">
        <f aca="true" t="shared" si="18" ref="C92:N92">C23*$B92/100</f>
        <v>1163060.832562801</v>
      </c>
      <c r="D92" s="347">
        <f t="shared" si="18"/>
        <v>1118039.154061996</v>
      </c>
      <c r="E92" s="347">
        <f t="shared" si="18"/>
        <v>1116135.8953006691</v>
      </c>
      <c r="F92" s="347">
        <f t="shared" si="18"/>
        <v>903318.4323303618</v>
      </c>
      <c r="G92" s="347">
        <f t="shared" si="18"/>
        <v>643086.260868272</v>
      </c>
      <c r="H92" s="347">
        <f t="shared" si="18"/>
        <v>433378.36589271895</v>
      </c>
      <c r="I92" s="347">
        <f t="shared" si="18"/>
        <v>344375.46216947085</v>
      </c>
      <c r="J92" s="347">
        <f t="shared" si="18"/>
        <v>352801.14026652224</v>
      </c>
      <c r="K92" s="347">
        <f t="shared" si="18"/>
        <v>394800.662539372</v>
      </c>
      <c r="L92" s="347">
        <f t="shared" si="18"/>
        <v>532257.6929205063</v>
      </c>
      <c r="M92" s="347">
        <f t="shared" si="18"/>
        <v>831950.1071809275</v>
      </c>
      <c r="N92" s="347">
        <f t="shared" si="18"/>
        <v>1266763.3219199807</v>
      </c>
      <c r="O92" s="347">
        <f aca="true" t="shared" si="19" ref="O92:O111">SUM(B92:N92)</f>
        <v>9099972.069013597</v>
      </c>
    </row>
    <row r="93" spans="1:15" ht="12.75">
      <c r="A93" s="373" t="s">
        <v>105</v>
      </c>
      <c r="B93" s="403"/>
      <c r="C93" s="347">
        <f>SUM(C91:C92)</f>
        <v>24469690.769372813</v>
      </c>
      <c r="D93" s="347">
        <f aca="true" t="shared" si="20" ref="D93:N93">SUM(D91:D92)</f>
        <v>22321548.595351998</v>
      </c>
      <c r="E93" s="347">
        <f t="shared" si="20"/>
        <v>21719744.089985296</v>
      </c>
      <c r="F93" s="347">
        <f t="shared" si="20"/>
        <v>17156922.52034909</v>
      </c>
      <c r="G93" s="347">
        <f t="shared" si="20"/>
        <v>15716847.461642193</v>
      </c>
      <c r="H93" s="347">
        <f t="shared" si="20"/>
        <v>12872575.109013114</v>
      </c>
      <c r="I93" s="347">
        <f t="shared" si="20"/>
        <v>12473110.03976168</v>
      </c>
      <c r="J93" s="347">
        <f t="shared" si="20"/>
        <v>12493007.166481577</v>
      </c>
      <c r="K93" s="347">
        <f t="shared" si="20"/>
        <v>12589882.29111422</v>
      </c>
      <c r="L93" s="347">
        <f t="shared" si="20"/>
        <v>14080770.320570944</v>
      </c>
      <c r="M93" s="347">
        <f t="shared" si="20"/>
        <v>16542067.187303323</v>
      </c>
      <c r="N93" s="347">
        <f t="shared" si="20"/>
        <v>20224214.846765</v>
      </c>
      <c r="O93" s="347">
        <f t="shared" si="19"/>
        <v>202660380.39771125</v>
      </c>
    </row>
    <row r="94" spans="1:15" ht="12.75">
      <c r="A94" s="341" t="s">
        <v>49</v>
      </c>
      <c r="B94" s="404">
        <v>4.876</v>
      </c>
      <c r="C94" s="347">
        <f aca="true" t="shared" si="21" ref="C94:N94">C25*$B94/100</f>
        <v>1221644.698034585</v>
      </c>
      <c r="D94" s="347">
        <f t="shared" si="21"/>
        <v>1167670.7832528146</v>
      </c>
      <c r="E94" s="347">
        <f t="shared" si="21"/>
        <v>1208191.2593976292</v>
      </c>
      <c r="F94" s="347">
        <f t="shared" si="21"/>
        <v>959286.1246334052</v>
      </c>
      <c r="G94" s="347">
        <f t="shared" si="21"/>
        <v>960838.4207354917</v>
      </c>
      <c r="H94" s="347">
        <f t="shared" si="21"/>
        <v>827640.0594663816</v>
      </c>
      <c r="I94" s="347">
        <f t="shared" si="21"/>
        <v>851849.2119732354</v>
      </c>
      <c r="J94" s="347">
        <f t="shared" si="21"/>
        <v>846270.8626731746</v>
      </c>
      <c r="K94" s="347">
        <f t="shared" si="21"/>
        <v>861993.2332645534</v>
      </c>
      <c r="L94" s="347">
        <f t="shared" si="21"/>
        <v>881382.9239393919</v>
      </c>
      <c r="M94" s="347">
        <f t="shared" si="21"/>
        <v>861712.52089725</v>
      </c>
      <c r="N94" s="347">
        <f t="shared" si="21"/>
        <v>994344.8927930626</v>
      </c>
      <c r="O94" s="347">
        <f t="shared" si="19"/>
        <v>11642829.867060974</v>
      </c>
    </row>
    <row r="95" spans="1:15" ht="12.75">
      <c r="A95" s="341" t="s">
        <v>50</v>
      </c>
      <c r="B95" s="404">
        <v>4.943</v>
      </c>
      <c r="C95" s="347">
        <f aca="true" t="shared" si="22" ref="C95:N95">C26*$B95/100</f>
        <v>11842411.67509675</v>
      </c>
      <c r="D95" s="347">
        <f t="shared" si="22"/>
        <v>11238833.397184303</v>
      </c>
      <c r="E95" s="347">
        <f t="shared" si="22"/>
        <v>11279162.902321653</v>
      </c>
      <c r="F95" s="347">
        <f t="shared" si="22"/>
        <v>9585376.544560703</v>
      </c>
      <c r="G95" s="347">
        <f t="shared" si="22"/>
        <v>9397130.776046855</v>
      </c>
      <c r="H95" s="347">
        <f t="shared" si="22"/>
        <v>9355382.856326697</v>
      </c>
      <c r="I95" s="347">
        <f t="shared" si="22"/>
        <v>9680137.964991445</v>
      </c>
      <c r="J95" s="347">
        <f t="shared" si="22"/>
        <v>9420782.630212152</v>
      </c>
      <c r="K95" s="347">
        <f t="shared" si="22"/>
        <v>9017452.703066628</v>
      </c>
      <c r="L95" s="347">
        <f t="shared" si="22"/>
        <v>9746290.698214618</v>
      </c>
      <c r="M95" s="347">
        <f t="shared" si="22"/>
        <v>9674558.468247885</v>
      </c>
      <c r="N95" s="347">
        <f t="shared" si="22"/>
        <v>10766548.057955638</v>
      </c>
      <c r="O95" s="347">
        <f t="shared" si="19"/>
        <v>121004073.61722535</v>
      </c>
    </row>
    <row r="96" spans="1:15" ht="12.75">
      <c r="A96" s="341" t="s">
        <v>51</v>
      </c>
      <c r="B96" s="404">
        <v>4.541</v>
      </c>
      <c r="C96" s="347">
        <f aca="true" t="shared" si="23" ref="C96:N96">C27*$B96/100</f>
        <v>1593734.6533700002</v>
      </c>
      <c r="D96" s="347">
        <f t="shared" si="23"/>
        <v>1397606.0479500003</v>
      </c>
      <c r="E96" s="347">
        <f t="shared" si="23"/>
        <v>1690377.53226</v>
      </c>
      <c r="F96" s="347">
        <f t="shared" si="23"/>
        <v>1471476.9925</v>
      </c>
      <c r="G96" s="347">
        <f t="shared" si="23"/>
        <v>1521463.5485300003</v>
      </c>
      <c r="H96" s="347">
        <f t="shared" si="23"/>
        <v>1504878.9991500003</v>
      </c>
      <c r="I96" s="347">
        <f t="shared" si="23"/>
        <v>1724188.6376000002</v>
      </c>
      <c r="J96" s="347">
        <f t="shared" si="23"/>
        <v>1743009.2207900002</v>
      </c>
      <c r="K96" s="347">
        <f t="shared" si="23"/>
        <v>1626190.90595</v>
      </c>
      <c r="L96" s="347">
        <f t="shared" si="23"/>
        <v>1582227.9864200002</v>
      </c>
      <c r="M96" s="347">
        <f t="shared" si="23"/>
        <v>1478656.49514</v>
      </c>
      <c r="N96" s="347">
        <f t="shared" si="23"/>
        <v>1506472.9355600001</v>
      </c>
      <c r="O96" s="347">
        <f t="shared" si="19"/>
        <v>18840288.49622</v>
      </c>
    </row>
    <row r="97" spans="1:15" ht="12.75">
      <c r="A97" s="341" t="s">
        <v>52</v>
      </c>
      <c r="B97" s="404">
        <v>4.668</v>
      </c>
      <c r="C97" s="347">
        <f aca="true" t="shared" si="24" ref="C97:N97">C28*$B97/100</f>
        <v>1115284.5810863038</v>
      </c>
      <c r="D97" s="347">
        <f t="shared" si="24"/>
        <v>1035711.8926833511</v>
      </c>
      <c r="E97" s="347">
        <f t="shared" si="24"/>
        <v>1112058.459998268</v>
      </c>
      <c r="F97" s="347">
        <f t="shared" si="24"/>
        <v>944241.7883088816</v>
      </c>
      <c r="G97" s="347">
        <f t="shared" si="24"/>
        <v>972244.0778298416</v>
      </c>
      <c r="H97" s="347">
        <f t="shared" si="24"/>
        <v>946104.737197815</v>
      </c>
      <c r="I97" s="347">
        <f t="shared" si="24"/>
        <v>1076887.5147156576</v>
      </c>
      <c r="J97" s="347">
        <f t="shared" si="24"/>
        <v>882461.0250720043</v>
      </c>
      <c r="K97" s="347">
        <f t="shared" si="24"/>
        <v>991447.7919598653</v>
      </c>
      <c r="L97" s="347">
        <f t="shared" si="24"/>
        <v>775302.157495432</v>
      </c>
      <c r="M97" s="347">
        <f t="shared" si="24"/>
        <v>992672.2287404627</v>
      </c>
      <c r="N97" s="347">
        <f t="shared" si="24"/>
        <v>1003060.2732822346</v>
      </c>
      <c r="O97" s="347">
        <f t="shared" si="19"/>
        <v>11847481.196370117</v>
      </c>
    </row>
    <row r="98" spans="1:15" ht="12.75">
      <c r="A98" s="341" t="s">
        <v>53</v>
      </c>
      <c r="B98" s="404">
        <v>4.593</v>
      </c>
      <c r="C98" s="347">
        <f aca="true" t="shared" si="25" ref="C98:N98">C29*$B98/100</f>
        <v>1714965.0840067377</v>
      </c>
      <c r="D98" s="347">
        <f t="shared" si="25"/>
        <v>1780737.5859602657</v>
      </c>
      <c r="E98" s="347">
        <f t="shared" si="25"/>
        <v>1993044.716472032</v>
      </c>
      <c r="F98" s="347">
        <f t="shared" si="25"/>
        <v>1939204.7184727045</v>
      </c>
      <c r="G98" s="347">
        <f t="shared" si="25"/>
        <v>1757352.9690502104</v>
      </c>
      <c r="H98" s="347">
        <f t="shared" si="25"/>
        <v>1910593.7373242164</v>
      </c>
      <c r="I98" s="347">
        <f t="shared" si="25"/>
        <v>1901674.597496853</v>
      </c>
      <c r="J98" s="347">
        <f t="shared" si="25"/>
        <v>1838355.1828495678</v>
      </c>
      <c r="K98" s="347">
        <f t="shared" si="25"/>
        <v>1979279.1804151195</v>
      </c>
      <c r="L98" s="347">
        <f t="shared" si="25"/>
        <v>1919644.1211178913</v>
      </c>
      <c r="M98" s="347">
        <f t="shared" si="25"/>
        <v>1942330.8597499295</v>
      </c>
      <c r="N98" s="347">
        <f t="shared" si="25"/>
        <v>1917591.5746706545</v>
      </c>
      <c r="O98" s="347">
        <f t="shared" si="19"/>
        <v>22594778.920586176</v>
      </c>
    </row>
    <row r="99" spans="1:15" ht="12.75">
      <c r="A99" s="341" t="s">
        <v>54</v>
      </c>
      <c r="B99" s="404">
        <v>4.402</v>
      </c>
      <c r="C99" s="347">
        <f aca="true" t="shared" si="26" ref="C99:N99">C30*$B99/100</f>
        <v>3407745.3267488005</v>
      </c>
      <c r="D99" s="347">
        <f t="shared" si="26"/>
        <v>3203562.8812736003</v>
      </c>
      <c r="E99" s="347">
        <f t="shared" si="26"/>
        <v>3413223.1865538</v>
      </c>
      <c r="F99" s="347">
        <f t="shared" si="26"/>
        <v>3328471.6016088002</v>
      </c>
      <c r="G99" s="347">
        <f t="shared" si="26"/>
        <v>3374065.5173400003</v>
      </c>
      <c r="H99" s="347">
        <f t="shared" si="26"/>
        <v>3409460.9965644004</v>
      </c>
      <c r="I99" s="347">
        <f t="shared" si="26"/>
        <v>3390069.6882580006</v>
      </c>
      <c r="J99" s="347">
        <f t="shared" si="26"/>
        <v>3495160.730490401</v>
      </c>
      <c r="K99" s="347">
        <f t="shared" si="26"/>
        <v>3558437.8328218</v>
      </c>
      <c r="L99" s="347">
        <f t="shared" si="26"/>
        <v>3411130.9872662</v>
      </c>
      <c r="M99" s="347">
        <f t="shared" si="26"/>
        <v>3403651.3007934005</v>
      </c>
      <c r="N99" s="347">
        <f t="shared" si="26"/>
        <v>2893869.5655818004</v>
      </c>
      <c r="O99" s="347">
        <f t="shared" si="19"/>
        <v>40288854.017301</v>
      </c>
    </row>
    <row r="100" spans="1:15" ht="12.75">
      <c r="A100" s="341" t="s">
        <v>58</v>
      </c>
      <c r="B100" s="404">
        <v>3.993</v>
      </c>
      <c r="C100" s="347">
        <f aca="true" t="shared" si="27" ref="C100:N100">C31*$B100/100</f>
        <v>6439132.24416</v>
      </c>
      <c r="D100" s="347">
        <f t="shared" si="27"/>
        <v>5815990.41408</v>
      </c>
      <c r="E100" s="347">
        <f t="shared" si="27"/>
        <v>6383040.65652</v>
      </c>
      <c r="F100" s="347">
        <f t="shared" si="27"/>
        <v>6231418.300799999</v>
      </c>
      <c r="G100" s="347">
        <f t="shared" si="27"/>
        <v>6439132.24416</v>
      </c>
      <c r="H100" s="347">
        <f t="shared" si="27"/>
        <v>6231418.300799999</v>
      </c>
      <c r="I100" s="347">
        <f t="shared" si="27"/>
        <v>6439132.24416</v>
      </c>
      <c r="J100" s="347">
        <f t="shared" si="27"/>
        <v>6439132.24416</v>
      </c>
      <c r="K100" s="347">
        <f t="shared" si="27"/>
        <v>3548641.3907999997</v>
      </c>
      <c r="L100" s="347">
        <f t="shared" si="27"/>
        <v>1184878.0284</v>
      </c>
      <c r="M100" s="347">
        <f t="shared" si="27"/>
        <v>946830.70152</v>
      </c>
      <c r="N100" s="347">
        <f t="shared" si="27"/>
        <v>1042389.58032</v>
      </c>
      <c r="O100" s="347">
        <f t="shared" si="19"/>
        <v>57141140.342879996</v>
      </c>
    </row>
    <row r="101" spans="1:15" ht="12.75">
      <c r="A101" s="341" t="s">
        <v>55</v>
      </c>
      <c r="B101" s="404">
        <v>4.538</v>
      </c>
      <c r="C101" s="347">
        <f aca="true" t="shared" si="28" ref="C101:N101">C32*$B101/100</f>
        <v>926707.97508</v>
      </c>
      <c r="D101" s="347">
        <f t="shared" si="28"/>
        <v>875504.85886</v>
      </c>
      <c r="E101" s="347">
        <f t="shared" si="28"/>
        <v>879403.09162</v>
      </c>
      <c r="F101" s="347">
        <f t="shared" si="28"/>
        <v>715509.3189400001</v>
      </c>
      <c r="G101" s="347">
        <f t="shared" si="28"/>
        <v>638061.31504</v>
      </c>
      <c r="H101" s="347">
        <f t="shared" si="28"/>
        <v>574058.31602</v>
      </c>
      <c r="I101" s="347">
        <f t="shared" si="28"/>
        <v>617513.61408</v>
      </c>
      <c r="J101" s="347">
        <f t="shared" si="28"/>
        <v>615551.51902</v>
      </c>
      <c r="K101" s="347">
        <f t="shared" si="28"/>
        <v>601652.03344</v>
      </c>
      <c r="L101" s="347">
        <f>L32*$B101/100</f>
        <v>692354.9000200001</v>
      </c>
      <c r="M101" s="347">
        <f t="shared" si="28"/>
        <v>717752.9061400001</v>
      </c>
      <c r="N101" s="347">
        <f t="shared" si="28"/>
        <v>829224.70118</v>
      </c>
      <c r="O101" s="347">
        <f t="shared" si="19"/>
        <v>8683299.08744</v>
      </c>
    </row>
    <row r="102" spans="1:15" ht="12.75">
      <c r="A102" s="341" t="s">
        <v>56</v>
      </c>
      <c r="B102" s="404">
        <v>4.816</v>
      </c>
      <c r="C102" s="347">
        <f aca="true" t="shared" si="29" ref="C102:N102">C33*$B102/100</f>
        <v>426781.9880207152</v>
      </c>
      <c r="D102" s="347">
        <f t="shared" si="29"/>
        <v>429440.2225338909</v>
      </c>
      <c r="E102" s="347">
        <f t="shared" si="29"/>
        <v>478070.8178543765</v>
      </c>
      <c r="F102" s="347">
        <f t="shared" si="29"/>
        <v>444280.75035990425</v>
      </c>
      <c r="G102" s="347">
        <f t="shared" si="29"/>
        <v>477121.05235847906</v>
      </c>
      <c r="H102" s="347">
        <f t="shared" si="29"/>
        <v>431099.43009923084</v>
      </c>
      <c r="I102" s="347">
        <f t="shared" si="29"/>
        <v>449681.9040143365</v>
      </c>
      <c r="J102" s="347">
        <f t="shared" si="29"/>
        <v>459135.27609518036</v>
      </c>
      <c r="K102" s="347">
        <f t="shared" si="29"/>
        <v>475614.3514360836</v>
      </c>
      <c r="L102" s="347">
        <f t="shared" si="29"/>
        <v>447361.43919091945</v>
      </c>
      <c r="M102" s="347">
        <f t="shared" si="29"/>
        <v>493080.11440640636</v>
      </c>
      <c r="N102" s="347">
        <f t="shared" si="29"/>
        <v>427734.3934105143</v>
      </c>
      <c r="O102" s="347">
        <f t="shared" si="19"/>
        <v>5439406.555780036</v>
      </c>
    </row>
    <row r="103" spans="1:15" ht="12.75">
      <c r="A103" s="341" t="s">
        <v>118</v>
      </c>
      <c r="B103" s="348"/>
      <c r="C103" s="347">
        <f>SUM(C93:C102)</f>
        <v>53158098.9949767</v>
      </c>
      <c r="D103" s="347">
        <f aca="true" t="shared" si="30" ref="D103:O103">SUM(D93:D102)</f>
        <v>49266606.67913022</v>
      </c>
      <c r="E103" s="347">
        <f t="shared" si="30"/>
        <v>50156316.71298305</v>
      </c>
      <c r="F103" s="347">
        <f t="shared" si="30"/>
        <v>42776188.66053349</v>
      </c>
      <c r="G103" s="347">
        <f t="shared" si="30"/>
        <v>41254257.38273307</v>
      </c>
      <c r="H103" s="347">
        <f t="shared" si="30"/>
        <v>38063212.541961856</v>
      </c>
      <c r="I103" s="347">
        <f t="shared" si="30"/>
        <v>38604245.417051196</v>
      </c>
      <c r="J103" s="347">
        <f t="shared" si="30"/>
        <v>38232865.85784406</v>
      </c>
      <c r="K103" s="347">
        <f t="shared" si="30"/>
        <v>35250591.714268275</v>
      </c>
      <c r="L103" s="347">
        <f>SUM(L93:L102)</f>
        <v>34721343.5626354</v>
      </c>
      <c r="M103" s="347">
        <f t="shared" si="30"/>
        <v>37053312.78293866</v>
      </c>
      <c r="N103" s="347">
        <f t="shared" si="30"/>
        <v>41605450.821518905</v>
      </c>
      <c r="O103" s="347">
        <f t="shared" si="30"/>
        <v>500142532.498575</v>
      </c>
    </row>
    <row r="104" spans="2:15" ht="12.75">
      <c r="B104" s="348"/>
      <c r="C104" s="347"/>
      <c r="D104" s="347"/>
      <c r="E104" s="347"/>
      <c r="F104" s="347"/>
      <c r="G104" s="347"/>
      <c r="H104" s="347"/>
      <c r="I104" s="347"/>
      <c r="J104" s="347"/>
      <c r="K104" s="347"/>
      <c r="L104" s="347"/>
      <c r="M104" s="347"/>
      <c r="N104" s="347"/>
      <c r="O104" s="347">
        <f t="shared" si="19"/>
        <v>0</v>
      </c>
    </row>
    <row r="105" spans="1:15" ht="12.75">
      <c r="A105" s="328" t="s">
        <v>100</v>
      </c>
      <c r="B105" s="348"/>
      <c r="C105" s="347"/>
      <c r="D105" s="347"/>
      <c r="E105" s="347"/>
      <c r="F105" s="347"/>
      <c r="G105" s="347"/>
      <c r="H105" s="347"/>
      <c r="I105" s="347"/>
      <c r="J105" s="347"/>
      <c r="K105" s="347"/>
      <c r="L105" s="347"/>
      <c r="M105" s="347"/>
      <c r="N105" s="347"/>
      <c r="O105" s="347">
        <f t="shared" si="19"/>
        <v>0</v>
      </c>
    </row>
    <row r="106" spans="1:15" ht="12.75">
      <c r="A106" s="341" t="s">
        <v>83</v>
      </c>
      <c r="B106" s="404">
        <v>5.726</v>
      </c>
      <c r="C106" s="347">
        <f aca="true" t="shared" si="31" ref="C106:N106">C37*$B106/100</f>
        <v>887415.48</v>
      </c>
      <c r="D106" s="347">
        <f t="shared" si="31"/>
        <v>714261.24</v>
      </c>
      <c r="E106" s="347">
        <f t="shared" si="31"/>
        <v>885010.56</v>
      </c>
      <c r="F106" s="347">
        <f t="shared" si="31"/>
        <v>829697.4</v>
      </c>
      <c r="G106" s="347">
        <f t="shared" si="31"/>
        <v>887415.48</v>
      </c>
      <c r="H106" s="347">
        <f t="shared" si="31"/>
        <v>829697.4</v>
      </c>
      <c r="I106" s="347">
        <f t="shared" si="31"/>
        <v>887415.48</v>
      </c>
      <c r="J106" s="347">
        <f t="shared" si="31"/>
        <v>887415.48</v>
      </c>
      <c r="K106" s="347">
        <f t="shared" si="31"/>
        <v>829697.4</v>
      </c>
      <c r="L106" s="347">
        <f t="shared" si="31"/>
        <v>887415.48</v>
      </c>
      <c r="M106" s="347">
        <f t="shared" si="31"/>
        <v>577982.44</v>
      </c>
      <c r="N106" s="347">
        <f t="shared" si="31"/>
        <v>875307.62396</v>
      </c>
      <c r="O106" s="347">
        <f t="shared" si="19"/>
        <v>9978737.189960001</v>
      </c>
    </row>
    <row r="107" spans="1:15" ht="12.75">
      <c r="A107" s="341" t="s">
        <v>64</v>
      </c>
      <c r="B107" s="404"/>
      <c r="C107" s="347"/>
      <c r="D107" s="347"/>
      <c r="E107" s="347"/>
      <c r="F107" s="347"/>
      <c r="G107" s="347"/>
      <c r="H107" s="347"/>
      <c r="I107" s="347"/>
      <c r="J107" s="347"/>
      <c r="K107" s="347"/>
      <c r="L107" s="347"/>
      <c r="M107" s="347"/>
      <c r="N107" s="347"/>
      <c r="O107" s="347">
        <f t="shared" si="19"/>
        <v>0</v>
      </c>
    </row>
    <row r="108" spans="1:15" ht="12.75">
      <c r="A108" s="341" t="s">
        <v>120</v>
      </c>
      <c r="B108" s="404"/>
      <c r="C108" s="347"/>
      <c r="D108" s="347"/>
      <c r="E108" s="347"/>
      <c r="F108" s="347"/>
      <c r="G108" s="347"/>
      <c r="H108" s="347"/>
      <c r="I108" s="347"/>
      <c r="J108" s="347"/>
      <c r="K108" s="347"/>
      <c r="L108" s="347"/>
      <c r="M108" s="347"/>
      <c r="N108" s="347"/>
      <c r="O108" s="347">
        <f t="shared" si="19"/>
        <v>0</v>
      </c>
    </row>
    <row r="109" spans="1:15" ht="12.75">
      <c r="A109" s="341" t="s">
        <v>116</v>
      </c>
      <c r="B109" s="404">
        <v>4.402</v>
      </c>
      <c r="C109" s="347"/>
      <c r="D109" s="347"/>
      <c r="E109" s="347"/>
      <c r="F109" s="347"/>
      <c r="G109" s="347"/>
      <c r="H109" s="347"/>
      <c r="I109" s="347"/>
      <c r="J109" s="347"/>
      <c r="K109" s="347">
        <f>K42*$B109/100</f>
        <v>0</v>
      </c>
      <c r="L109" s="347">
        <f>L42*$B109/100</f>
        <v>0</v>
      </c>
      <c r="M109" s="347">
        <f>M42*$B109/100</f>
        <v>0</v>
      </c>
      <c r="N109" s="347">
        <f>N42*$B109/100</f>
        <v>0</v>
      </c>
      <c r="O109" s="347">
        <f t="shared" si="19"/>
        <v>4.402</v>
      </c>
    </row>
    <row r="110" spans="1:15" ht="12.75">
      <c r="A110" s="341" t="s">
        <v>118</v>
      </c>
      <c r="B110" s="348"/>
      <c r="C110" s="347">
        <f>SUM(C106:C109)</f>
        <v>887415.48</v>
      </c>
      <c r="D110" s="347">
        <f aca="true" t="shared" si="32" ref="D110:N110">SUM(D106:D109)</f>
        <v>714261.24</v>
      </c>
      <c r="E110" s="347">
        <f t="shared" si="32"/>
        <v>885010.56</v>
      </c>
      <c r="F110" s="347">
        <f t="shared" si="32"/>
        <v>829697.4</v>
      </c>
      <c r="G110" s="347">
        <f t="shared" si="32"/>
        <v>887415.48</v>
      </c>
      <c r="H110" s="347">
        <f t="shared" si="32"/>
        <v>829697.4</v>
      </c>
      <c r="I110" s="347">
        <f t="shared" si="32"/>
        <v>887415.48</v>
      </c>
      <c r="J110" s="347">
        <f t="shared" si="32"/>
        <v>887415.48</v>
      </c>
      <c r="K110" s="347">
        <f t="shared" si="32"/>
        <v>829697.4</v>
      </c>
      <c r="L110" s="347">
        <f t="shared" si="32"/>
        <v>887415.48</v>
      </c>
      <c r="M110" s="347">
        <f t="shared" si="32"/>
        <v>577982.44</v>
      </c>
      <c r="N110" s="347">
        <f t="shared" si="32"/>
        <v>875307.62396</v>
      </c>
      <c r="O110" s="347">
        <f t="shared" si="19"/>
        <v>9978731.463960001</v>
      </c>
    </row>
    <row r="111" spans="2:15" ht="12.75">
      <c r="B111" s="348"/>
      <c r="C111" s="347"/>
      <c r="D111" s="347"/>
      <c r="E111" s="347"/>
      <c r="F111" s="347"/>
      <c r="G111" s="347"/>
      <c r="H111" s="347"/>
      <c r="I111" s="347"/>
      <c r="J111" s="347"/>
      <c r="K111" s="347"/>
      <c r="L111" s="347"/>
      <c r="M111" s="347"/>
      <c r="N111" s="347"/>
      <c r="O111" s="347">
        <f t="shared" si="19"/>
        <v>0</v>
      </c>
    </row>
    <row r="112" spans="1:15" ht="12.75">
      <c r="A112" s="341" t="s">
        <v>47</v>
      </c>
      <c r="B112" s="348"/>
      <c r="C112" s="347">
        <f>C110+C103</f>
        <v>54045514.474976696</v>
      </c>
      <c r="D112" s="347">
        <f aca="true" t="shared" si="33" ref="D112:O112">D110+D103</f>
        <v>49980867.91913022</v>
      </c>
      <c r="E112" s="347">
        <f t="shared" si="33"/>
        <v>51041327.27298305</v>
      </c>
      <c r="F112" s="347">
        <f t="shared" si="33"/>
        <v>43605886.06053349</v>
      </c>
      <c r="G112" s="347">
        <f t="shared" si="33"/>
        <v>42141672.862733066</v>
      </c>
      <c r="H112" s="347">
        <f t="shared" si="33"/>
        <v>38892909.941961855</v>
      </c>
      <c r="I112" s="347">
        <f t="shared" si="33"/>
        <v>39491660.89705119</v>
      </c>
      <c r="J112" s="347">
        <f t="shared" si="33"/>
        <v>39120281.33784406</v>
      </c>
      <c r="K112" s="347">
        <f t="shared" si="33"/>
        <v>36080289.11426827</v>
      </c>
      <c r="L112" s="347">
        <f t="shared" si="33"/>
        <v>35608759.042635396</v>
      </c>
      <c r="M112" s="347">
        <f t="shared" si="33"/>
        <v>37631295.22293866</v>
      </c>
      <c r="N112" s="347">
        <f t="shared" si="33"/>
        <v>42480758.44547891</v>
      </c>
      <c r="O112" s="347">
        <f t="shared" si="33"/>
        <v>510121263.96253496</v>
      </c>
    </row>
    <row r="113" spans="3:15" ht="12.75">
      <c r="C113" s="350"/>
      <c r="D113" s="350"/>
      <c r="E113" s="350"/>
      <c r="F113" s="350"/>
      <c r="G113" s="350"/>
      <c r="H113" s="350"/>
      <c r="I113" s="350"/>
      <c r="J113" s="350"/>
      <c r="K113" s="350"/>
      <c r="L113" s="350"/>
      <c r="M113" s="350"/>
      <c r="N113" s="350"/>
      <c r="O113" s="350"/>
    </row>
    <row r="114" spans="1:15" ht="12.75">
      <c r="A114" s="328" t="s">
        <v>117</v>
      </c>
      <c r="C114" s="350"/>
      <c r="D114" s="350"/>
      <c r="E114" s="350"/>
      <c r="F114" s="350"/>
      <c r="G114" s="350"/>
      <c r="H114" s="350"/>
      <c r="I114" s="350"/>
      <c r="J114" s="350"/>
      <c r="K114" s="350"/>
      <c r="L114" s="350"/>
      <c r="M114" s="350"/>
      <c r="N114" s="350"/>
      <c r="O114" s="350"/>
    </row>
    <row r="115" spans="3:15" ht="12.75">
      <c r="C115" s="350"/>
      <c r="D115" s="350"/>
      <c r="E115" s="350"/>
      <c r="F115" s="350"/>
      <c r="G115" s="350"/>
      <c r="H115" s="350"/>
      <c r="I115" s="350"/>
      <c r="J115" s="350"/>
      <c r="K115" s="350"/>
      <c r="L115" s="350"/>
      <c r="M115" s="350"/>
      <c r="N115" s="350"/>
      <c r="O115" s="350"/>
    </row>
    <row r="116" spans="1:15" ht="12.75">
      <c r="A116" s="328" t="s">
        <v>41</v>
      </c>
      <c r="C116" s="350"/>
      <c r="D116" s="350"/>
      <c r="E116" s="350"/>
      <c r="F116" s="350"/>
      <c r="G116" s="350"/>
      <c r="H116" s="350"/>
      <c r="I116" s="350"/>
      <c r="J116" s="350"/>
      <c r="K116" s="350"/>
      <c r="L116" s="350"/>
      <c r="M116" s="350"/>
      <c r="N116" s="350"/>
      <c r="O116" s="350"/>
    </row>
    <row r="117" spans="1:15" ht="12.75">
      <c r="A117" s="373" t="s">
        <v>105</v>
      </c>
      <c r="C117" s="347">
        <f aca="true" t="shared" si="34" ref="C117:O117">+C67-C93</f>
        <v>0</v>
      </c>
      <c r="D117" s="347">
        <f t="shared" si="34"/>
        <v>0</v>
      </c>
      <c r="E117" s="347">
        <f t="shared" si="34"/>
        <v>0</v>
      </c>
      <c r="F117" s="347">
        <f t="shared" si="34"/>
        <v>0</v>
      </c>
      <c r="G117" s="347">
        <f t="shared" si="34"/>
        <v>0</v>
      </c>
      <c r="H117" s="347">
        <f t="shared" si="34"/>
        <v>0</v>
      </c>
      <c r="I117" s="347">
        <f t="shared" si="34"/>
        <v>0</v>
      </c>
      <c r="J117" s="347">
        <f t="shared" si="34"/>
        <v>0</v>
      </c>
      <c r="K117" s="347">
        <f t="shared" si="34"/>
        <v>0</v>
      </c>
      <c r="L117" s="347">
        <f t="shared" si="34"/>
        <v>0</v>
      </c>
      <c r="M117" s="347">
        <f t="shared" si="34"/>
        <v>0</v>
      </c>
      <c r="N117" s="347">
        <f t="shared" si="34"/>
        <v>0</v>
      </c>
      <c r="O117" s="347">
        <f t="shared" si="34"/>
        <v>0</v>
      </c>
    </row>
    <row r="118" spans="1:15" ht="12.75">
      <c r="A118" s="341" t="s">
        <v>49</v>
      </c>
      <c r="C118" s="347">
        <f aca="true" t="shared" si="35" ref="C118:O118">+C68-C94</f>
        <v>0</v>
      </c>
      <c r="D118" s="347">
        <f t="shared" si="35"/>
        <v>0</v>
      </c>
      <c r="E118" s="347">
        <f t="shared" si="35"/>
        <v>0</v>
      </c>
      <c r="F118" s="347">
        <f t="shared" si="35"/>
        <v>0</v>
      </c>
      <c r="G118" s="347">
        <f t="shared" si="35"/>
        <v>0</v>
      </c>
      <c r="H118" s="347">
        <f t="shared" si="35"/>
        <v>0</v>
      </c>
      <c r="I118" s="347">
        <f t="shared" si="35"/>
        <v>0</v>
      </c>
      <c r="J118" s="347">
        <f t="shared" si="35"/>
        <v>0</v>
      </c>
      <c r="K118" s="347">
        <f t="shared" si="35"/>
        <v>0</v>
      </c>
      <c r="L118" s="405">
        <f t="shared" si="35"/>
        <v>0</v>
      </c>
      <c r="M118" s="405">
        <f t="shared" si="35"/>
        <v>0</v>
      </c>
      <c r="N118" s="405">
        <f t="shared" si="35"/>
        <v>0</v>
      </c>
      <c r="O118" s="405">
        <f t="shared" si="35"/>
        <v>-4.875999998301268</v>
      </c>
    </row>
    <row r="119" spans="1:15" ht="12.75">
      <c r="A119" s="341" t="s">
        <v>50</v>
      </c>
      <c r="C119" s="347">
        <f aca="true" t="shared" si="36" ref="C119:O119">+C69-C95</f>
        <v>0</v>
      </c>
      <c r="D119" s="347">
        <f t="shared" si="36"/>
        <v>0</v>
      </c>
      <c r="E119" s="347">
        <f t="shared" si="36"/>
        <v>0</v>
      </c>
      <c r="F119" s="347">
        <f t="shared" si="36"/>
        <v>0</v>
      </c>
      <c r="G119" s="347">
        <f t="shared" si="36"/>
        <v>0</v>
      </c>
      <c r="H119" s="347">
        <f t="shared" si="36"/>
        <v>0</v>
      </c>
      <c r="I119" s="347">
        <f t="shared" si="36"/>
        <v>0</v>
      </c>
      <c r="J119" s="347">
        <f t="shared" si="36"/>
        <v>0</v>
      </c>
      <c r="K119" s="347">
        <f t="shared" si="36"/>
        <v>0</v>
      </c>
      <c r="L119" s="405">
        <f t="shared" si="36"/>
        <v>0</v>
      </c>
      <c r="M119" s="405">
        <f t="shared" si="36"/>
        <v>0</v>
      </c>
      <c r="N119" s="405">
        <f t="shared" si="36"/>
        <v>0</v>
      </c>
      <c r="O119" s="405">
        <f t="shared" si="36"/>
        <v>-4.943000003695488</v>
      </c>
    </row>
    <row r="120" spans="1:15" ht="12.75">
      <c r="A120" s="341" t="s">
        <v>51</v>
      </c>
      <c r="C120" s="347">
        <f aca="true" t="shared" si="37" ref="C120:O120">+C70-C96</f>
        <v>0</v>
      </c>
      <c r="D120" s="347">
        <f t="shared" si="37"/>
        <v>0</v>
      </c>
      <c r="E120" s="347">
        <f t="shared" si="37"/>
        <v>0</v>
      </c>
      <c r="F120" s="347">
        <f t="shared" si="37"/>
        <v>0</v>
      </c>
      <c r="G120" s="347">
        <f t="shared" si="37"/>
        <v>0</v>
      </c>
      <c r="H120" s="347">
        <f t="shared" si="37"/>
        <v>0</v>
      </c>
      <c r="I120" s="347">
        <f t="shared" si="37"/>
        <v>0</v>
      </c>
      <c r="J120" s="347">
        <f t="shared" si="37"/>
        <v>0</v>
      </c>
      <c r="K120" s="347">
        <f t="shared" si="37"/>
        <v>0</v>
      </c>
      <c r="L120" s="405">
        <f t="shared" si="37"/>
        <v>0</v>
      </c>
      <c r="M120" s="405">
        <f t="shared" si="37"/>
        <v>0</v>
      </c>
      <c r="N120" s="405">
        <f t="shared" si="37"/>
        <v>0</v>
      </c>
      <c r="O120" s="405">
        <f t="shared" si="37"/>
        <v>-4.541000001132488</v>
      </c>
    </row>
    <row r="121" spans="1:15" ht="12.75">
      <c r="A121" s="341" t="s">
        <v>52</v>
      </c>
      <c r="C121" s="347">
        <f aca="true" t="shared" si="38" ref="C121:O121">+C71-C97</f>
        <v>0</v>
      </c>
      <c r="D121" s="347">
        <f t="shared" si="38"/>
        <v>0</v>
      </c>
      <c r="E121" s="347">
        <f t="shared" si="38"/>
        <v>0</v>
      </c>
      <c r="F121" s="347">
        <f t="shared" si="38"/>
        <v>0</v>
      </c>
      <c r="G121" s="347">
        <f t="shared" si="38"/>
        <v>0</v>
      </c>
      <c r="H121" s="347">
        <f t="shared" si="38"/>
        <v>0</v>
      </c>
      <c r="I121" s="347">
        <f t="shared" si="38"/>
        <v>0</v>
      </c>
      <c r="J121" s="347">
        <f t="shared" si="38"/>
        <v>0</v>
      </c>
      <c r="K121" s="347">
        <f t="shared" si="38"/>
        <v>0</v>
      </c>
      <c r="L121" s="405">
        <f t="shared" si="38"/>
        <v>0</v>
      </c>
      <c r="M121" s="405">
        <f t="shared" si="38"/>
        <v>0</v>
      </c>
      <c r="N121" s="405">
        <f t="shared" si="38"/>
        <v>0</v>
      </c>
      <c r="O121" s="405">
        <f t="shared" si="38"/>
        <v>-4.667999999597669</v>
      </c>
    </row>
    <row r="122" spans="1:15" ht="12.75">
      <c r="A122" s="341" t="s">
        <v>53</v>
      </c>
      <c r="C122" s="347">
        <f aca="true" t="shared" si="39" ref="C122:O122">+C72-C98</f>
        <v>0</v>
      </c>
      <c r="D122" s="347">
        <f t="shared" si="39"/>
        <v>0</v>
      </c>
      <c r="E122" s="347">
        <f t="shared" si="39"/>
        <v>0</v>
      </c>
      <c r="F122" s="347">
        <f t="shared" si="39"/>
        <v>0</v>
      </c>
      <c r="G122" s="347">
        <f t="shared" si="39"/>
        <v>0</v>
      </c>
      <c r="H122" s="347">
        <f t="shared" si="39"/>
        <v>0</v>
      </c>
      <c r="I122" s="347">
        <f t="shared" si="39"/>
        <v>0</v>
      </c>
      <c r="J122" s="347">
        <f t="shared" si="39"/>
        <v>0</v>
      </c>
      <c r="K122" s="347">
        <f t="shared" si="39"/>
        <v>0</v>
      </c>
      <c r="L122" s="405">
        <f t="shared" si="39"/>
        <v>0</v>
      </c>
      <c r="M122" s="405">
        <f t="shared" si="39"/>
        <v>0</v>
      </c>
      <c r="N122" s="405">
        <f t="shared" si="39"/>
        <v>0</v>
      </c>
      <c r="O122" s="405">
        <f t="shared" si="39"/>
        <v>-4.592999998480082</v>
      </c>
    </row>
    <row r="123" spans="1:15" ht="12.75">
      <c r="A123" s="341" t="s">
        <v>54</v>
      </c>
      <c r="C123" s="347">
        <f aca="true" t="shared" si="40" ref="C123:O123">+C73-C99</f>
        <v>0</v>
      </c>
      <c r="D123" s="347">
        <f t="shared" si="40"/>
        <v>0</v>
      </c>
      <c r="E123" s="347">
        <f t="shared" si="40"/>
        <v>0</v>
      </c>
      <c r="F123" s="347">
        <f t="shared" si="40"/>
        <v>0</v>
      </c>
      <c r="G123" s="347">
        <f t="shared" si="40"/>
        <v>0</v>
      </c>
      <c r="H123" s="347">
        <f t="shared" si="40"/>
        <v>0</v>
      </c>
      <c r="I123" s="347">
        <f t="shared" si="40"/>
        <v>0</v>
      </c>
      <c r="J123" s="347">
        <f t="shared" si="40"/>
        <v>0</v>
      </c>
      <c r="K123" s="347">
        <f t="shared" si="40"/>
        <v>0</v>
      </c>
      <c r="L123" s="405">
        <f t="shared" si="40"/>
        <v>0</v>
      </c>
      <c r="M123" s="405">
        <f t="shared" si="40"/>
        <v>0</v>
      </c>
      <c r="N123" s="405">
        <f t="shared" si="40"/>
        <v>0</v>
      </c>
      <c r="O123" s="405">
        <f t="shared" si="40"/>
        <v>-4.402000002563</v>
      </c>
    </row>
    <row r="124" spans="1:15" ht="12.75">
      <c r="A124" s="341" t="s">
        <v>58</v>
      </c>
      <c r="C124" s="405">
        <f aca="true" t="shared" si="41" ref="C124:O124">+C74-C100</f>
        <v>-7414.961070000194</v>
      </c>
      <c r="D124" s="405">
        <f t="shared" si="41"/>
        <v>-22676.845949999057</v>
      </c>
      <c r="E124" s="405">
        <f t="shared" si="41"/>
        <v>-8530.565339999273</v>
      </c>
      <c r="F124" s="405">
        <f t="shared" si="41"/>
        <v>0</v>
      </c>
      <c r="G124" s="405">
        <f t="shared" si="41"/>
        <v>-144.7861800007522</v>
      </c>
      <c r="H124" s="405">
        <f t="shared" si="41"/>
        <v>-77301.44531999901</v>
      </c>
      <c r="I124" s="405">
        <f t="shared" si="41"/>
        <v>-21458.382000000216</v>
      </c>
      <c r="J124" s="405">
        <f t="shared" si="41"/>
        <v>-30590.412930000573</v>
      </c>
      <c r="K124" s="405">
        <f t="shared" si="41"/>
        <v>-7896.796379999258</v>
      </c>
      <c r="L124" s="405">
        <f t="shared" si="41"/>
        <v>-150295.16237999988</v>
      </c>
      <c r="M124" s="405">
        <f t="shared" si="41"/>
        <v>-131344.78368</v>
      </c>
      <c r="N124" s="405">
        <f t="shared" si="41"/>
        <v>-292990.96695000003</v>
      </c>
      <c r="O124" s="405">
        <f t="shared" si="41"/>
        <v>-750649.1011800021</v>
      </c>
    </row>
    <row r="125" spans="1:15" ht="12.75">
      <c r="A125" s="341" t="s">
        <v>55</v>
      </c>
      <c r="C125" s="405">
        <f aca="true" t="shared" si="42" ref="C125:O125">+C75-C101</f>
        <v>0</v>
      </c>
      <c r="D125" s="405">
        <f t="shared" si="42"/>
        <v>0</v>
      </c>
      <c r="E125" s="405">
        <f t="shared" si="42"/>
        <v>0</v>
      </c>
      <c r="F125" s="405">
        <f t="shared" si="42"/>
        <v>0</v>
      </c>
      <c r="G125" s="405">
        <f t="shared" si="42"/>
        <v>0</v>
      </c>
      <c r="H125" s="405">
        <f t="shared" si="42"/>
        <v>0</v>
      </c>
      <c r="I125" s="405">
        <f t="shared" si="42"/>
        <v>0</v>
      </c>
      <c r="J125" s="405">
        <f t="shared" si="42"/>
        <v>0</v>
      </c>
      <c r="K125" s="405">
        <f t="shared" si="42"/>
        <v>0</v>
      </c>
      <c r="L125" s="405">
        <f t="shared" si="42"/>
        <v>0</v>
      </c>
      <c r="M125" s="405">
        <f t="shared" si="42"/>
        <v>0</v>
      </c>
      <c r="N125" s="405">
        <f t="shared" si="42"/>
        <v>0</v>
      </c>
      <c r="O125" s="405">
        <f t="shared" si="42"/>
        <v>-4.538000002503395</v>
      </c>
    </row>
    <row r="126" spans="1:15" ht="12.75">
      <c r="A126" s="341" t="s">
        <v>56</v>
      </c>
      <c r="C126" s="406">
        <f aca="true" t="shared" si="43" ref="C126:O126">+C76-C102</f>
        <v>0</v>
      </c>
      <c r="D126" s="406">
        <f t="shared" si="43"/>
        <v>0</v>
      </c>
      <c r="E126" s="406">
        <f t="shared" si="43"/>
        <v>0</v>
      </c>
      <c r="F126" s="406">
        <f t="shared" si="43"/>
        <v>0</v>
      </c>
      <c r="G126" s="406">
        <f t="shared" si="43"/>
        <v>0</v>
      </c>
      <c r="H126" s="406">
        <f t="shared" si="43"/>
        <v>0</v>
      </c>
      <c r="I126" s="406">
        <f t="shared" si="43"/>
        <v>0</v>
      </c>
      <c r="J126" s="406">
        <f t="shared" si="43"/>
        <v>0</v>
      </c>
      <c r="K126" s="406">
        <f t="shared" si="43"/>
        <v>0</v>
      </c>
      <c r="L126" s="406">
        <f t="shared" si="43"/>
        <v>0</v>
      </c>
      <c r="M126" s="406">
        <f t="shared" si="43"/>
        <v>0</v>
      </c>
      <c r="N126" s="406">
        <f t="shared" si="43"/>
        <v>0</v>
      </c>
      <c r="O126" s="406">
        <f t="shared" si="43"/>
        <v>-4.815999999642372</v>
      </c>
    </row>
    <row r="127" spans="1:15" ht="12.75">
      <c r="A127" s="341" t="s">
        <v>118</v>
      </c>
      <c r="C127" s="405">
        <f aca="true" t="shared" si="44" ref="C127:O127">+C77-C103</f>
        <v>-7414.961069993675</v>
      </c>
      <c r="D127" s="405">
        <f t="shared" si="44"/>
        <v>-22676.845949999988</v>
      </c>
      <c r="E127" s="405">
        <f t="shared" si="44"/>
        <v>-8530.565340004861</v>
      </c>
      <c r="F127" s="405">
        <f t="shared" si="44"/>
        <v>0</v>
      </c>
      <c r="G127" s="405">
        <f t="shared" si="44"/>
        <v>-144.78617999702692</v>
      </c>
      <c r="H127" s="405">
        <f t="shared" si="44"/>
        <v>-77301.44532000273</v>
      </c>
      <c r="I127" s="405">
        <f t="shared" si="44"/>
        <v>-21458.381999999285</v>
      </c>
      <c r="J127" s="405">
        <f t="shared" si="44"/>
        <v>-30590.4129300043</v>
      </c>
      <c r="K127" s="405">
        <f t="shared" si="44"/>
        <v>-7896.796379998326</v>
      </c>
      <c r="L127" s="405">
        <f t="shared" si="44"/>
        <v>-150295.16238000244</v>
      </c>
      <c r="M127" s="405">
        <f t="shared" si="44"/>
        <v>-131344.78368000686</v>
      </c>
      <c r="N127" s="405">
        <f t="shared" si="44"/>
        <v>-292990.96694999933</v>
      </c>
      <c r="O127" s="405">
        <f t="shared" si="44"/>
        <v>-750686.4781801105</v>
      </c>
    </row>
    <row r="128" spans="3:15" ht="12.75">
      <c r="C128" s="405"/>
      <c r="D128" s="405"/>
      <c r="E128" s="405"/>
      <c r="F128" s="405"/>
      <c r="G128" s="405"/>
      <c r="H128" s="405"/>
      <c r="I128" s="405"/>
      <c r="J128" s="405"/>
      <c r="K128" s="405"/>
      <c r="L128" s="405"/>
      <c r="M128" s="405"/>
      <c r="N128" s="405"/>
      <c r="O128" s="405"/>
    </row>
    <row r="129" spans="1:15" ht="12.75">
      <c r="A129" s="328" t="s">
        <v>100</v>
      </c>
      <c r="C129" s="405"/>
      <c r="D129" s="405"/>
      <c r="E129" s="405"/>
      <c r="F129" s="405"/>
      <c r="G129" s="405"/>
      <c r="H129" s="405"/>
      <c r="I129" s="405"/>
      <c r="J129" s="405"/>
      <c r="K129" s="405"/>
      <c r="L129" s="405"/>
      <c r="M129" s="405"/>
      <c r="N129" s="405"/>
      <c r="O129" s="405"/>
    </row>
    <row r="130" spans="1:15" ht="12.75">
      <c r="A130" s="341" t="s">
        <v>83</v>
      </c>
      <c r="C130" s="405">
        <f aca="true" t="shared" si="45" ref="C130:O130">+C80-C106</f>
        <v>0</v>
      </c>
      <c r="D130" s="405">
        <f t="shared" si="45"/>
        <v>0</v>
      </c>
      <c r="E130" s="405">
        <f t="shared" si="45"/>
        <v>0</v>
      </c>
      <c r="F130" s="405">
        <f t="shared" si="45"/>
        <v>0</v>
      </c>
      <c r="G130" s="405">
        <f t="shared" si="45"/>
        <v>0</v>
      </c>
      <c r="H130" s="405">
        <f t="shared" si="45"/>
        <v>0</v>
      </c>
      <c r="I130" s="405">
        <f t="shared" si="45"/>
        <v>0</v>
      </c>
      <c r="J130" s="405">
        <f t="shared" si="45"/>
        <v>0</v>
      </c>
      <c r="K130" s="405">
        <f t="shared" si="45"/>
        <v>0</v>
      </c>
      <c r="L130" s="405">
        <f t="shared" si="45"/>
        <v>0</v>
      </c>
      <c r="M130" s="405">
        <f t="shared" si="45"/>
        <v>0</v>
      </c>
      <c r="N130" s="405">
        <f t="shared" si="45"/>
        <v>0</v>
      </c>
      <c r="O130" s="405">
        <f t="shared" si="45"/>
        <v>-5.725999999791384</v>
      </c>
    </row>
    <row r="131" spans="1:15" ht="12.75">
      <c r="A131" s="341" t="s">
        <v>64</v>
      </c>
      <c r="C131" s="405">
        <f aca="true" t="shared" si="46" ref="C131:O131">+C81-C107</f>
        <v>0</v>
      </c>
      <c r="D131" s="405">
        <f t="shared" si="46"/>
        <v>0</v>
      </c>
      <c r="E131" s="405">
        <f t="shared" si="46"/>
        <v>0</v>
      </c>
      <c r="F131" s="405">
        <f t="shared" si="46"/>
        <v>0</v>
      </c>
      <c r="G131" s="405">
        <f t="shared" si="46"/>
        <v>0</v>
      </c>
      <c r="H131" s="405">
        <f t="shared" si="46"/>
        <v>0</v>
      </c>
      <c r="I131" s="405">
        <f t="shared" si="46"/>
        <v>0</v>
      </c>
      <c r="J131" s="405">
        <f t="shared" si="46"/>
        <v>0</v>
      </c>
      <c r="K131" s="405">
        <f t="shared" si="46"/>
        <v>0</v>
      </c>
      <c r="L131" s="405">
        <f t="shared" si="46"/>
        <v>0</v>
      </c>
      <c r="M131" s="405">
        <f t="shared" si="46"/>
        <v>0</v>
      </c>
      <c r="N131" s="405">
        <f t="shared" si="46"/>
        <v>0</v>
      </c>
      <c r="O131" s="405">
        <f t="shared" si="46"/>
        <v>0</v>
      </c>
    </row>
    <row r="132" spans="1:15" ht="12.75">
      <c r="A132" s="341" t="s">
        <v>120</v>
      </c>
      <c r="C132" s="405">
        <f aca="true" t="shared" si="47" ref="C132:O132">+C82-C108</f>
        <v>0</v>
      </c>
      <c r="D132" s="405">
        <f t="shared" si="47"/>
        <v>0</v>
      </c>
      <c r="E132" s="405">
        <f t="shared" si="47"/>
        <v>0</v>
      </c>
      <c r="F132" s="405">
        <f t="shared" si="47"/>
        <v>0</v>
      </c>
      <c r="G132" s="405">
        <f t="shared" si="47"/>
        <v>0</v>
      </c>
      <c r="H132" s="405">
        <f t="shared" si="47"/>
        <v>0</v>
      </c>
      <c r="I132" s="405">
        <f t="shared" si="47"/>
        <v>0</v>
      </c>
      <c r="J132" s="405">
        <f t="shared" si="47"/>
        <v>0</v>
      </c>
      <c r="K132" s="405">
        <f t="shared" si="47"/>
        <v>0</v>
      </c>
      <c r="L132" s="405">
        <f t="shared" si="47"/>
        <v>0</v>
      </c>
      <c r="M132" s="405">
        <f t="shared" si="47"/>
        <v>0</v>
      </c>
      <c r="N132" s="405">
        <f t="shared" si="47"/>
        <v>0</v>
      </c>
      <c r="O132" s="405">
        <f t="shared" si="47"/>
        <v>0</v>
      </c>
    </row>
    <row r="133" spans="1:15" ht="12.75">
      <c r="A133" s="341" t="s">
        <v>116</v>
      </c>
      <c r="C133" s="405">
        <f aca="true" t="shared" si="48" ref="C133:O133">+C83-C109</f>
        <v>0</v>
      </c>
      <c r="D133" s="405">
        <f t="shared" si="48"/>
        <v>0</v>
      </c>
      <c r="E133" s="405">
        <f t="shared" si="48"/>
        <v>171440.1727324998</v>
      </c>
      <c r="F133" s="405">
        <f t="shared" si="48"/>
        <v>-171440.1727324998</v>
      </c>
      <c r="G133" s="405">
        <f t="shared" si="48"/>
        <v>0</v>
      </c>
      <c r="H133" s="405">
        <f t="shared" si="48"/>
        <v>0</v>
      </c>
      <c r="I133" s="405">
        <f t="shared" si="48"/>
        <v>0</v>
      </c>
      <c r="J133" s="405">
        <f t="shared" si="48"/>
        <v>0</v>
      </c>
      <c r="K133" s="405">
        <f t="shared" si="48"/>
        <v>0</v>
      </c>
      <c r="L133" s="405">
        <f t="shared" si="48"/>
        <v>0</v>
      </c>
      <c r="M133" s="405">
        <f t="shared" si="48"/>
        <v>0</v>
      </c>
      <c r="N133" s="405">
        <f t="shared" si="48"/>
        <v>0</v>
      </c>
      <c r="O133" s="405">
        <f t="shared" si="48"/>
        <v>-4.402</v>
      </c>
    </row>
    <row r="134" spans="1:15" ht="12.75">
      <c r="A134" s="341" t="s">
        <v>118</v>
      </c>
      <c r="C134" s="405">
        <f aca="true" t="shared" si="49" ref="C134:O134">+C84-C110</f>
        <v>0</v>
      </c>
      <c r="D134" s="405">
        <f t="shared" si="49"/>
        <v>0</v>
      </c>
      <c r="E134" s="405">
        <f t="shared" si="49"/>
        <v>171440.17273249966</v>
      </c>
      <c r="F134" s="405">
        <f t="shared" si="49"/>
        <v>-171440.17273249978</v>
      </c>
      <c r="G134" s="405">
        <f t="shared" si="49"/>
        <v>0</v>
      </c>
      <c r="H134" s="405">
        <f t="shared" si="49"/>
        <v>0</v>
      </c>
      <c r="I134" s="405">
        <f t="shared" si="49"/>
        <v>0</v>
      </c>
      <c r="J134" s="405">
        <f t="shared" si="49"/>
        <v>0</v>
      </c>
      <c r="K134" s="405">
        <f t="shared" si="49"/>
        <v>0</v>
      </c>
      <c r="L134" s="405">
        <f t="shared" si="49"/>
        <v>0</v>
      </c>
      <c r="M134" s="405">
        <f t="shared" si="49"/>
        <v>0</v>
      </c>
      <c r="N134" s="405">
        <f t="shared" si="49"/>
        <v>0</v>
      </c>
      <c r="O134" s="405">
        <f t="shared" si="49"/>
        <v>0</v>
      </c>
    </row>
    <row r="135" spans="3:15" ht="12.75">
      <c r="C135" s="405"/>
      <c r="D135" s="405"/>
      <c r="E135" s="405"/>
      <c r="F135" s="405"/>
      <c r="G135" s="405"/>
      <c r="H135" s="405"/>
      <c r="I135" s="405"/>
      <c r="J135" s="405"/>
      <c r="K135" s="405"/>
      <c r="L135" s="405"/>
      <c r="M135" s="405"/>
      <c r="N135" s="405"/>
      <c r="O135" s="405"/>
    </row>
    <row r="136" spans="1:15" ht="12.75">
      <c r="A136" s="341" t="s">
        <v>47</v>
      </c>
      <c r="C136" s="405">
        <f aca="true" t="shared" si="50" ref="C136:O136">+C86-C112</f>
        <v>-7414.961069993675</v>
      </c>
      <c r="D136" s="405">
        <f t="shared" si="50"/>
        <v>-22676.845949999988</v>
      </c>
      <c r="E136" s="405">
        <f t="shared" si="50"/>
        <v>162909.6073924899</v>
      </c>
      <c r="F136" s="405">
        <f t="shared" si="50"/>
        <v>-171440.17273249477</v>
      </c>
      <c r="G136" s="405">
        <f t="shared" si="50"/>
        <v>-144.78617999702692</v>
      </c>
      <c r="H136" s="405">
        <f t="shared" si="50"/>
        <v>-77301.44532000273</v>
      </c>
      <c r="I136" s="405">
        <f t="shared" si="50"/>
        <v>-21458.381999999285</v>
      </c>
      <c r="J136" s="405">
        <f t="shared" si="50"/>
        <v>-30590.4129300043</v>
      </c>
      <c r="K136" s="405">
        <f t="shared" si="50"/>
        <v>-7896.796379998326</v>
      </c>
      <c r="L136" s="405">
        <f t="shared" si="50"/>
        <v>-150295.16238000244</v>
      </c>
      <c r="M136" s="405">
        <f t="shared" si="50"/>
        <v>-131344.78368000686</v>
      </c>
      <c r="N136" s="405">
        <f t="shared" si="50"/>
        <v>-292990.96694999933</v>
      </c>
      <c r="O136" s="405">
        <f t="shared" si="50"/>
        <v>-750686.4781801105</v>
      </c>
    </row>
    <row r="138" ht="15.75">
      <c r="A138" s="345" t="s">
        <v>243</v>
      </c>
    </row>
    <row r="140" spans="1:15" ht="12.75">
      <c r="A140" s="328" t="s">
        <v>41</v>
      </c>
      <c r="O140" s="353"/>
    </row>
    <row r="141" spans="1:15" ht="12.75">
      <c r="A141" s="335" t="s">
        <v>103</v>
      </c>
      <c r="B141" s="403">
        <v>4.741</v>
      </c>
      <c r="C141" s="347">
        <f>C22*$B141/100</f>
        <v>23306629.936810013</v>
      </c>
      <c r="D141" s="347">
        <f aca="true" t="shared" si="51" ref="D141:N141">D22*$B141/100</f>
        <v>21203509.441290002</v>
      </c>
      <c r="E141" s="347">
        <f t="shared" si="51"/>
        <v>20603608.19468463</v>
      </c>
      <c r="F141" s="347">
        <f t="shared" si="51"/>
        <v>16253604.088018727</v>
      </c>
      <c r="G141" s="347">
        <f t="shared" si="51"/>
        <v>15073761.20077392</v>
      </c>
      <c r="H141" s="347">
        <f t="shared" si="51"/>
        <v>12439196.743120395</v>
      </c>
      <c r="I141" s="347">
        <f t="shared" si="51"/>
        <v>12128734.577592209</v>
      </c>
      <c r="J141" s="347">
        <f t="shared" si="51"/>
        <v>12140206.026215054</v>
      </c>
      <c r="K141" s="347">
        <f t="shared" si="51"/>
        <v>12195081.628574848</v>
      </c>
      <c r="L141" s="347">
        <f t="shared" si="51"/>
        <v>13548512.627650438</v>
      </c>
      <c r="M141" s="347">
        <f t="shared" si="51"/>
        <v>15710117.080122396</v>
      </c>
      <c r="N141" s="347">
        <f t="shared" si="51"/>
        <v>18957451.52484502</v>
      </c>
      <c r="O141" s="347">
        <f>SUM(B141:N141)</f>
        <v>193560417.81069767</v>
      </c>
    </row>
    <row r="142" spans="1:15" ht="12.75">
      <c r="A142" s="335" t="s">
        <v>104</v>
      </c>
      <c r="B142" s="403">
        <v>4.741</v>
      </c>
      <c r="C142" s="347">
        <f aca="true" t="shared" si="52" ref="C142:N152">C23*$B142/100</f>
        <v>1163060.832562801</v>
      </c>
      <c r="D142" s="347">
        <f t="shared" si="52"/>
        <v>1118039.154061996</v>
      </c>
      <c r="E142" s="347">
        <f t="shared" si="52"/>
        <v>1116135.8953006691</v>
      </c>
      <c r="F142" s="347">
        <f t="shared" si="52"/>
        <v>903318.4323303618</v>
      </c>
      <c r="G142" s="347">
        <f t="shared" si="52"/>
        <v>643086.260868272</v>
      </c>
      <c r="H142" s="347">
        <f t="shared" si="52"/>
        <v>433378.36589271895</v>
      </c>
      <c r="I142" s="347">
        <f t="shared" si="52"/>
        <v>344375.46216947085</v>
      </c>
      <c r="J142" s="347">
        <f t="shared" si="52"/>
        <v>352801.14026652224</v>
      </c>
      <c r="K142" s="347">
        <f t="shared" si="52"/>
        <v>394800.662539372</v>
      </c>
      <c r="L142" s="347">
        <f t="shared" si="52"/>
        <v>532257.6929205063</v>
      </c>
      <c r="M142" s="347">
        <f t="shared" si="52"/>
        <v>831950.1071809275</v>
      </c>
      <c r="N142" s="347">
        <f t="shared" si="52"/>
        <v>1266763.3219199807</v>
      </c>
      <c r="O142" s="347">
        <f aca="true" t="shared" si="53" ref="O142:O150">SUM(B142:N142)</f>
        <v>9099972.069013597</v>
      </c>
    </row>
    <row r="143" spans="1:15" ht="12.75">
      <c r="A143" s="335" t="s">
        <v>105</v>
      </c>
      <c r="B143" s="403"/>
      <c r="C143" s="347">
        <f>C141+C142</f>
        <v>24469690.769372813</v>
      </c>
      <c r="D143" s="347">
        <f aca="true" t="shared" si="54" ref="D143:N143">D141+D142</f>
        <v>22321548.595351998</v>
      </c>
      <c r="E143" s="347">
        <f t="shared" si="54"/>
        <v>21719744.089985296</v>
      </c>
      <c r="F143" s="347">
        <f t="shared" si="54"/>
        <v>17156922.52034909</v>
      </c>
      <c r="G143" s="347">
        <f t="shared" si="54"/>
        <v>15716847.461642193</v>
      </c>
      <c r="H143" s="347">
        <f t="shared" si="54"/>
        <v>12872575.109013114</v>
      </c>
      <c r="I143" s="347">
        <f t="shared" si="54"/>
        <v>12473110.03976168</v>
      </c>
      <c r="J143" s="347">
        <f t="shared" si="54"/>
        <v>12493007.166481577</v>
      </c>
      <c r="K143" s="347">
        <f t="shared" si="54"/>
        <v>12589882.29111422</v>
      </c>
      <c r="L143" s="347">
        <f t="shared" si="54"/>
        <v>14080770.320570944</v>
      </c>
      <c r="M143" s="347">
        <f t="shared" si="54"/>
        <v>16542067.187303323</v>
      </c>
      <c r="N143" s="347">
        <f t="shared" si="54"/>
        <v>20224214.846765</v>
      </c>
      <c r="O143" s="347">
        <f t="shared" si="53"/>
        <v>202660380.39771125</v>
      </c>
    </row>
    <row r="144" spans="1:15" ht="12.75">
      <c r="A144" s="341" t="s">
        <v>49</v>
      </c>
      <c r="B144" s="404">
        <v>4.876</v>
      </c>
      <c r="C144" s="347">
        <f t="shared" si="52"/>
        <v>1221644.698034585</v>
      </c>
      <c r="D144" s="347">
        <f t="shared" si="52"/>
        <v>1167670.7832528146</v>
      </c>
      <c r="E144" s="347">
        <f t="shared" si="52"/>
        <v>1208191.2593976292</v>
      </c>
      <c r="F144" s="347">
        <f t="shared" si="52"/>
        <v>959286.1246334052</v>
      </c>
      <c r="G144" s="347">
        <f t="shared" si="52"/>
        <v>960838.4207354917</v>
      </c>
      <c r="H144" s="347">
        <f t="shared" si="52"/>
        <v>827640.0594663816</v>
      </c>
      <c r="I144" s="347">
        <f t="shared" si="52"/>
        <v>851849.2119732354</v>
      </c>
      <c r="J144" s="347">
        <f t="shared" si="52"/>
        <v>846270.8626731746</v>
      </c>
      <c r="K144" s="347">
        <f t="shared" si="52"/>
        <v>861993.2332645534</v>
      </c>
      <c r="L144" s="347">
        <f t="shared" si="52"/>
        <v>881382.9239393919</v>
      </c>
      <c r="M144" s="347">
        <f t="shared" si="52"/>
        <v>861712.52089725</v>
      </c>
      <c r="N144" s="347">
        <f t="shared" si="52"/>
        <v>994344.8927930626</v>
      </c>
      <c r="O144" s="347">
        <f t="shared" si="53"/>
        <v>11642829.867060974</v>
      </c>
    </row>
    <row r="145" spans="1:15" ht="12.75">
      <c r="A145" s="341" t="s">
        <v>50</v>
      </c>
      <c r="B145" s="404">
        <v>4.943</v>
      </c>
      <c r="C145" s="347">
        <f t="shared" si="52"/>
        <v>11842411.67509675</v>
      </c>
      <c r="D145" s="347">
        <f t="shared" si="52"/>
        <v>11238833.397184303</v>
      </c>
      <c r="E145" s="347">
        <f t="shared" si="52"/>
        <v>11279162.902321653</v>
      </c>
      <c r="F145" s="347">
        <f t="shared" si="52"/>
        <v>9585376.544560703</v>
      </c>
      <c r="G145" s="347">
        <f t="shared" si="52"/>
        <v>9397130.776046855</v>
      </c>
      <c r="H145" s="347">
        <f t="shared" si="52"/>
        <v>9355382.856326697</v>
      </c>
      <c r="I145" s="347">
        <f t="shared" si="52"/>
        <v>9680137.964991445</v>
      </c>
      <c r="J145" s="347">
        <f t="shared" si="52"/>
        <v>9420782.630212152</v>
      </c>
      <c r="K145" s="347">
        <f t="shared" si="52"/>
        <v>9017452.703066628</v>
      </c>
      <c r="L145" s="347">
        <f t="shared" si="52"/>
        <v>9746290.698214618</v>
      </c>
      <c r="M145" s="347">
        <f t="shared" si="52"/>
        <v>9674558.468247885</v>
      </c>
      <c r="N145" s="347">
        <f t="shared" si="52"/>
        <v>10766548.057955638</v>
      </c>
      <c r="O145" s="347">
        <f t="shared" si="53"/>
        <v>121004073.61722535</v>
      </c>
    </row>
    <row r="146" spans="1:15" ht="12.75">
      <c r="A146" s="341" t="s">
        <v>51</v>
      </c>
      <c r="B146" s="404">
        <v>4.541</v>
      </c>
      <c r="C146" s="347">
        <f t="shared" si="52"/>
        <v>1593734.6533700002</v>
      </c>
      <c r="D146" s="347">
        <f t="shared" si="52"/>
        <v>1397606.0479500003</v>
      </c>
      <c r="E146" s="347">
        <f t="shared" si="52"/>
        <v>1690377.53226</v>
      </c>
      <c r="F146" s="347">
        <f t="shared" si="52"/>
        <v>1471476.9925</v>
      </c>
      <c r="G146" s="347">
        <f t="shared" si="52"/>
        <v>1521463.5485300003</v>
      </c>
      <c r="H146" s="347">
        <f t="shared" si="52"/>
        <v>1504878.9991500003</v>
      </c>
      <c r="I146" s="347">
        <f t="shared" si="52"/>
        <v>1724188.6376000002</v>
      </c>
      <c r="J146" s="347">
        <f t="shared" si="52"/>
        <v>1743009.2207900002</v>
      </c>
      <c r="K146" s="347">
        <f t="shared" si="52"/>
        <v>1626190.90595</v>
      </c>
      <c r="L146" s="347">
        <f t="shared" si="52"/>
        <v>1582227.9864200002</v>
      </c>
      <c r="M146" s="347">
        <f t="shared" si="52"/>
        <v>1478656.49514</v>
      </c>
      <c r="N146" s="347">
        <f t="shared" si="52"/>
        <v>1506472.9355600001</v>
      </c>
      <c r="O146" s="347">
        <f t="shared" si="53"/>
        <v>18840288.49622</v>
      </c>
    </row>
    <row r="147" spans="1:15" ht="12.75">
      <c r="A147" s="341" t="s">
        <v>52</v>
      </c>
      <c r="B147" s="404">
        <v>4.668</v>
      </c>
      <c r="C147" s="347">
        <f t="shared" si="52"/>
        <v>1115284.5810863038</v>
      </c>
      <c r="D147" s="347">
        <f t="shared" si="52"/>
        <v>1035711.8926833511</v>
      </c>
      <c r="E147" s="347">
        <f t="shared" si="52"/>
        <v>1112058.459998268</v>
      </c>
      <c r="F147" s="347">
        <f t="shared" si="52"/>
        <v>944241.7883088816</v>
      </c>
      <c r="G147" s="347">
        <f t="shared" si="52"/>
        <v>972244.0778298416</v>
      </c>
      <c r="H147" s="347">
        <f t="shared" si="52"/>
        <v>946104.737197815</v>
      </c>
      <c r="I147" s="347">
        <f t="shared" si="52"/>
        <v>1076887.5147156576</v>
      </c>
      <c r="J147" s="347">
        <f t="shared" si="52"/>
        <v>882461.0250720043</v>
      </c>
      <c r="K147" s="347">
        <f t="shared" si="52"/>
        <v>991447.7919598653</v>
      </c>
      <c r="L147" s="347">
        <f t="shared" si="52"/>
        <v>775302.157495432</v>
      </c>
      <c r="M147" s="347">
        <f t="shared" si="52"/>
        <v>992672.2287404627</v>
      </c>
      <c r="N147" s="347">
        <f t="shared" si="52"/>
        <v>1003060.2732822346</v>
      </c>
      <c r="O147" s="347">
        <f t="shared" si="53"/>
        <v>11847481.196370117</v>
      </c>
    </row>
    <row r="148" spans="1:15" ht="12.75">
      <c r="A148" s="341" t="s">
        <v>53</v>
      </c>
      <c r="B148" s="404">
        <v>4.593</v>
      </c>
      <c r="C148" s="347">
        <f t="shared" si="52"/>
        <v>1714965.0840067377</v>
      </c>
      <c r="D148" s="347">
        <f t="shared" si="52"/>
        <v>1780737.5859602657</v>
      </c>
      <c r="E148" s="347">
        <f t="shared" si="52"/>
        <v>1993044.716472032</v>
      </c>
      <c r="F148" s="347">
        <f t="shared" si="52"/>
        <v>1939204.7184727045</v>
      </c>
      <c r="G148" s="347">
        <f t="shared" si="52"/>
        <v>1757352.9690502104</v>
      </c>
      <c r="H148" s="347">
        <f t="shared" si="52"/>
        <v>1910593.7373242164</v>
      </c>
      <c r="I148" s="347">
        <f t="shared" si="52"/>
        <v>1901674.597496853</v>
      </c>
      <c r="J148" s="347">
        <f t="shared" si="52"/>
        <v>1838355.1828495678</v>
      </c>
      <c r="K148" s="347">
        <f t="shared" si="52"/>
        <v>1979279.1804151195</v>
      </c>
      <c r="L148" s="347">
        <f t="shared" si="52"/>
        <v>1919644.1211178913</v>
      </c>
      <c r="M148" s="347">
        <f>M29*$B148/100</f>
        <v>1942330.8597499295</v>
      </c>
      <c r="N148" s="347">
        <f t="shared" si="52"/>
        <v>1917591.5746706545</v>
      </c>
      <c r="O148" s="347">
        <f t="shared" si="53"/>
        <v>22594778.920586176</v>
      </c>
    </row>
    <row r="149" spans="1:15" ht="12.75">
      <c r="A149" s="341" t="s">
        <v>54</v>
      </c>
      <c r="B149" s="404">
        <v>4.402</v>
      </c>
      <c r="C149" s="347">
        <f t="shared" si="52"/>
        <v>3407745.3267488005</v>
      </c>
      <c r="D149" s="347">
        <f t="shared" si="52"/>
        <v>3203562.8812736003</v>
      </c>
      <c r="E149" s="347">
        <f t="shared" si="52"/>
        <v>3413223.1865538</v>
      </c>
      <c r="F149" s="347">
        <f t="shared" si="52"/>
        <v>3328471.6016088002</v>
      </c>
      <c r="G149" s="347">
        <f t="shared" si="52"/>
        <v>3374065.5173400003</v>
      </c>
      <c r="H149" s="347">
        <f t="shared" si="52"/>
        <v>3409460.9965644004</v>
      </c>
      <c r="I149" s="347">
        <f t="shared" si="52"/>
        <v>3390069.6882580006</v>
      </c>
      <c r="J149" s="347">
        <f t="shared" si="52"/>
        <v>3495160.730490401</v>
      </c>
      <c r="K149" s="347">
        <f t="shared" si="52"/>
        <v>3558437.8328218</v>
      </c>
      <c r="L149" s="347">
        <f>L30*$B149/100</f>
        <v>3411130.9872662</v>
      </c>
      <c r="M149" s="347">
        <f t="shared" si="52"/>
        <v>3403651.3007934005</v>
      </c>
      <c r="N149" s="347">
        <f t="shared" si="52"/>
        <v>2893869.5655818004</v>
      </c>
      <c r="O149" s="347">
        <f t="shared" si="53"/>
        <v>40288854.017301</v>
      </c>
    </row>
    <row r="150" spans="1:15" ht="12.75">
      <c r="A150" s="341" t="s">
        <v>58</v>
      </c>
      <c r="B150" s="404">
        <v>3.993</v>
      </c>
      <c r="C150" s="347">
        <f t="shared" si="52"/>
        <v>6439132.24416</v>
      </c>
      <c r="D150" s="347">
        <f t="shared" si="52"/>
        <v>5815990.41408</v>
      </c>
      <c r="E150" s="347">
        <f t="shared" si="52"/>
        <v>6383040.65652</v>
      </c>
      <c r="F150" s="347">
        <f t="shared" si="52"/>
        <v>6231418.300799999</v>
      </c>
      <c r="G150" s="347">
        <f t="shared" si="52"/>
        <v>6439132.24416</v>
      </c>
      <c r="H150" s="347">
        <f t="shared" si="52"/>
        <v>6231418.300799999</v>
      </c>
      <c r="I150" s="347">
        <f t="shared" si="52"/>
        <v>6439132.24416</v>
      </c>
      <c r="J150" s="347">
        <f t="shared" si="52"/>
        <v>6439132.24416</v>
      </c>
      <c r="K150" s="347">
        <f t="shared" si="52"/>
        <v>3548641.3907999997</v>
      </c>
      <c r="L150" s="347">
        <f t="shared" si="52"/>
        <v>1184878.0284</v>
      </c>
      <c r="M150" s="347">
        <f t="shared" si="52"/>
        <v>946830.70152</v>
      </c>
      <c r="N150" s="347">
        <f t="shared" si="52"/>
        <v>1042389.58032</v>
      </c>
      <c r="O150" s="347">
        <f t="shared" si="53"/>
        <v>57141140.342879996</v>
      </c>
    </row>
    <row r="151" spans="1:15" ht="12.75">
      <c r="A151" s="341" t="s">
        <v>55</v>
      </c>
      <c r="B151" s="404">
        <v>4.538</v>
      </c>
      <c r="C151" s="347">
        <f t="shared" si="52"/>
        <v>926707.97508</v>
      </c>
      <c r="D151" s="347">
        <f t="shared" si="52"/>
        <v>875504.85886</v>
      </c>
      <c r="E151" s="347">
        <f t="shared" si="52"/>
        <v>879403.09162</v>
      </c>
      <c r="F151" s="347">
        <f t="shared" si="52"/>
        <v>715509.3189400001</v>
      </c>
      <c r="G151" s="347">
        <f t="shared" si="52"/>
        <v>638061.31504</v>
      </c>
      <c r="H151" s="347">
        <f t="shared" si="52"/>
        <v>574058.31602</v>
      </c>
      <c r="I151" s="347">
        <f t="shared" si="52"/>
        <v>617513.61408</v>
      </c>
      <c r="J151" s="347">
        <f t="shared" si="52"/>
        <v>615551.51902</v>
      </c>
      <c r="K151" s="347">
        <f t="shared" si="52"/>
        <v>601652.03344</v>
      </c>
      <c r="L151" s="347">
        <f t="shared" si="52"/>
        <v>692354.9000200001</v>
      </c>
      <c r="M151" s="347">
        <f t="shared" si="52"/>
        <v>717752.9061400001</v>
      </c>
      <c r="N151" s="347">
        <f t="shared" si="52"/>
        <v>829224.70118</v>
      </c>
      <c r="O151" s="407">
        <f>SUM(B151:N151)</f>
        <v>8683299.08744</v>
      </c>
    </row>
    <row r="152" spans="1:15" ht="12.75">
      <c r="A152" s="341" t="s">
        <v>56</v>
      </c>
      <c r="B152" s="404">
        <v>4.816</v>
      </c>
      <c r="C152" s="347">
        <f t="shared" si="52"/>
        <v>426781.9880207152</v>
      </c>
      <c r="D152" s="347">
        <f t="shared" si="52"/>
        <v>429440.2225338909</v>
      </c>
      <c r="E152" s="347">
        <f t="shared" si="52"/>
        <v>478070.8178543765</v>
      </c>
      <c r="F152" s="347">
        <f t="shared" si="52"/>
        <v>444280.75035990425</v>
      </c>
      <c r="G152" s="347">
        <f t="shared" si="52"/>
        <v>477121.05235847906</v>
      </c>
      <c r="H152" s="347">
        <f t="shared" si="52"/>
        <v>431099.43009923084</v>
      </c>
      <c r="I152" s="347">
        <f t="shared" si="52"/>
        <v>449681.9040143365</v>
      </c>
      <c r="J152" s="347">
        <f t="shared" si="52"/>
        <v>459135.27609518036</v>
      </c>
      <c r="K152" s="347">
        <f t="shared" si="52"/>
        <v>475614.3514360836</v>
      </c>
      <c r="L152" s="347">
        <f t="shared" si="52"/>
        <v>447361.43919091945</v>
      </c>
      <c r="M152" s="347">
        <f t="shared" si="52"/>
        <v>493080.11440640636</v>
      </c>
      <c r="N152" s="347">
        <f t="shared" si="52"/>
        <v>427734.3934105143</v>
      </c>
      <c r="O152" s="407">
        <f>SUM(B152:N152)</f>
        <v>5439406.555780036</v>
      </c>
    </row>
    <row r="153" spans="1:15" ht="12.75">
      <c r="A153" s="341" t="s">
        <v>118</v>
      </c>
      <c r="B153" s="348"/>
      <c r="C153" s="347">
        <f aca="true" t="shared" si="55" ref="C153:O153">SUM(C143:C152)</f>
        <v>53158098.9949767</v>
      </c>
      <c r="D153" s="347">
        <f t="shared" si="55"/>
        <v>49266606.67913022</v>
      </c>
      <c r="E153" s="347">
        <f t="shared" si="55"/>
        <v>50156316.71298305</v>
      </c>
      <c r="F153" s="347">
        <f t="shared" si="55"/>
        <v>42776188.66053349</v>
      </c>
      <c r="G153" s="347">
        <f t="shared" si="55"/>
        <v>41254257.38273307</v>
      </c>
      <c r="H153" s="347">
        <f t="shared" si="55"/>
        <v>38063212.541961856</v>
      </c>
      <c r="I153" s="347">
        <f t="shared" si="55"/>
        <v>38604245.417051196</v>
      </c>
      <c r="J153" s="347">
        <f t="shared" si="55"/>
        <v>38232865.85784406</v>
      </c>
      <c r="K153" s="347">
        <f t="shared" si="55"/>
        <v>35250591.714268275</v>
      </c>
      <c r="L153" s="347">
        <f t="shared" si="55"/>
        <v>34721343.5626354</v>
      </c>
      <c r="M153" s="347">
        <f t="shared" si="55"/>
        <v>37053312.78293866</v>
      </c>
      <c r="N153" s="347">
        <f t="shared" si="55"/>
        <v>41605450.821518905</v>
      </c>
      <c r="O153" s="347">
        <f t="shared" si="55"/>
        <v>500142532.498575</v>
      </c>
    </row>
    <row r="154" spans="2:14" ht="12.75">
      <c r="B154" s="348"/>
      <c r="C154" s="347"/>
      <c r="D154" s="347"/>
      <c r="E154" s="347"/>
      <c r="F154" s="347"/>
      <c r="G154" s="347"/>
      <c r="H154" s="347"/>
      <c r="I154" s="347"/>
      <c r="J154" s="347"/>
      <c r="K154" s="347"/>
      <c r="L154" s="347"/>
      <c r="M154" s="347"/>
      <c r="N154" s="347"/>
    </row>
    <row r="155" spans="1:14" ht="12.75">
      <c r="A155" s="328" t="s">
        <v>100</v>
      </c>
      <c r="B155" s="348"/>
      <c r="C155" s="347"/>
      <c r="D155" s="347"/>
      <c r="E155" s="347"/>
      <c r="F155" s="347"/>
      <c r="G155" s="347"/>
      <c r="H155" s="347"/>
      <c r="I155" s="347"/>
      <c r="J155" s="347"/>
      <c r="K155" s="347"/>
      <c r="L155" s="347"/>
      <c r="M155" s="347"/>
      <c r="N155" s="347"/>
    </row>
    <row r="156" spans="1:15" ht="12.75">
      <c r="A156" s="341" t="s">
        <v>83</v>
      </c>
      <c r="B156" s="404">
        <v>5.726</v>
      </c>
      <c r="C156" s="347">
        <f>C37*$B156/100</f>
        <v>887415.48</v>
      </c>
      <c r="D156" s="347">
        <f aca="true" t="shared" si="56" ref="D156:N156">D37*$B156/100</f>
        <v>714261.24</v>
      </c>
      <c r="E156" s="347">
        <f t="shared" si="56"/>
        <v>885010.56</v>
      </c>
      <c r="F156" s="347">
        <f t="shared" si="56"/>
        <v>829697.4</v>
      </c>
      <c r="G156" s="347">
        <f t="shared" si="56"/>
        <v>887415.48</v>
      </c>
      <c r="H156" s="347">
        <f t="shared" si="56"/>
        <v>829697.4</v>
      </c>
      <c r="I156" s="347">
        <f t="shared" si="56"/>
        <v>887415.48</v>
      </c>
      <c r="J156" s="347">
        <f t="shared" si="56"/>
        <v>887415.48</v>
      </c>
      <c r="K156" s="347">
        <f t="shared" si="56"/>
        <v>829697.4</v>
      </c>
      <c r="L156" s="347">
        <f t="shared" si="56"/>
        <v>887415.48</v>
      </c>
      <c r="M156" s="347">
        <f t="shared" si="56"/>
        <v>577982.44</v>
      </c>
      <c r="N156" s="347">
        <f t="shared" si="56"/>
        <v>875307.62396</v>
      </c>
      <c r="O156" s="347">
        <f>SUM(B156:N156)</f>
        <v>9978737.189960001</v>
      </c>
    </row>
    <row r="157" spans="2:14" ht="12.75">
      <c r="B157" s="348"/>
      <c r="C157" s="347"/>
      <c r="D157" s="347"/>
      <c r="E157" s="347"/>
      <c r="F157" s="347"/>
      <c r="G157" s="347"/>
      <c r="H157" s="347"/>
      <c r="I157" s="347"/>
      <c r="J157" s="347"/>
      <c r="K157" s="347"/>
      <c r="L157" s="347"/>
      <c r="M157" s="347"/>
      <c r="N157" s="347"/>
    </row>
    <row r="158" spans="1:15" ht="12.75">
      <c r="A158" s="341" t="s">
        <v>47</v>
      </c>
      <c r="B158" s="348"/>
      <c r="C158" s="347">
        <f>+C153+C156</f>
        <v>54045514.474976696</v>
      </c>
      <c r="D158" s="347">
        <f aca="true" t="shared" si="57" ref="D158:N158">+D153+D156</f>
        <v>49980867.91913022</v>
      </c>
      <c r="E158" s="347">
        <f t="shared" si="57"/>
        <v>51041327.27298305</v>
      </c>
      <c r="F158" s="347">
        <f t="shared" si="57"/>
        <v>43605886.06053349</v>
      </c>
      <c r="G158" s="347">
        <f t="shared" si="57"/>
        <v>42141672.862733066</v>
      </c>
      <c r="H158" s="347">
        <f t="shared" si="57"/>
        <v>38892909.941961855</v>
      </c>
      <c r="I158" s="347">
        <f t="shared" si="57"/>
        <v>39491660.89705119</v>
      </c>
      <c r="J158" s="347">
        <f t="shared" si="57"/>
        <v>39120281.33784406</v>
      </c>
      <c r="K158" s="347">
        <f t="shared" si="57"/>
        <v>36080289.11426827</v>
      </c>
      <c r="L158" s="347">
        <f t="shared" si="57"/>
        <v>35608759.042635396</v>
      </c>
      <c r="M158" s="347">
        <f t="shared" si="57"/>
        <v>37631295.22293866</v>
      </c>
      <c r="N158" s="347">
        <f t="shared" si="57"/>
        <v>42480758.44547891</v>
      </c>
      <c r="O158" s="347">
        <f>O153+O156</f>
        <v>510121269.688535</v>
      </c>
    </row>
    <row r="159" spans="3:14" ht="12.75">
      <c r="C159" s="350"/>
      <c r="D159" s="350"/>
      <c r="E159" s="350"/>
      <c r="F159" s="350"/>
      <c r="G159" s="350"/>
      <c r="H159" s="350"/>
      <c r="I159" s="350"/>
      <c r="J159" s="350"/>
      <c r="K159" s="350"/>
      <c r="L159" s="350"/>
      <c r="M159" s="350"/>
      <c r="N159" s="350"/>
    </row>
    <row r="161" ht="15.75">
      <c r="A161" s="345" t="s">
        <v>229</v>
      </c>
    </row>
    <row r="162" spans="1:2" ht="12.75">
      <c r="A162" s="341" t="s">
        <v>230</v>
      </c>
      <c r="B162" s="352">
        <v>0.0787</v>
      </c>
    </row>
    <row r="163" spans="1:15" ht="12.75">
      <c r="A163" s="328" t="s">
        <v>237</v>
      </c>
      <c r="C163" s="353">
        <f>(C2-C5+C7+C8)-(C17+C54+C55+C6)</f>
        <v>65740462.77238787</v>
      </c>
      <c r="D163" s="353">
        <f aca="true" t="shared" si="58" ref="D163:N163">(D2-D5+D7+D8)-(D17+D54+D55+D6)</f>
        <v>55033551.550189145</v>
      </c>
      <c r="E163" s="353">
        <f t="shared" si="58"/>
        <v>49190119.65364016</v>
      </c>
      <c r="F163" s="353">
        <f t="shared" si="58"/>
        <v>43107164.55711793</v>
      </c>
      <c r="G163" s="353">
        <f t="shared" si="58"/>
        <v>38499023.89397808</v>
      </c>
      <c r="H163" s="353">
        <f t="shared" si="58"/>
        <v>44121911.79489993</v>
      </c>
      <c r="I163" s="353">
        <f t="shared" si="58"/>
        <v>42458368.33425883</v>
      </c>
      <c r="J163" s="353">
        <f t="shared" si="58"/>
        <v>44707325.39535386</v>
      </c>
      <c r="K163" s="353">
        <f t="shared" si="58"/>
        <v>38462642.317101106</v>
      </c>
      <c r="L163" s="353">
        <f t="shared" si="58"/>
        <v>39546967.40795474</v>
      </c>
      <c r="M163" s="353">
        <f t="shared" si="58"/>
        <v>43091463.21066667</v>
      </c>
      <c r="N163" s="353">
        <f t="shared" si="58"/>
        <v>45532026.98066667</v>
      </c>
      <c r="O163" s="353">
        <f>SUM(C163:N163)</f>
        <v>549491027.8682151</v>
      </c>
    </row>
    <row r="164" spans="1:15" ht="12.75">
      <c r="A164" s="335" t="s">
        <v>231</v>
      </c>
      <c r="C164" s="398">
        <f>C112</f>
        <v>54045514.474976696</v>
      </c>
      <c r="D164" s="398">
        <f aca="true" t="shared" si="59" ref="D164:N164">D112</f>
        <v>49980867.91913022</v>
      </c>
      <c r="E164" s="398">
        <f t="shared" si="59"/>
        <v>51041327.27298305</v>
      </c>
      <c r="F164" s="398">
        <f t="shared" si="59"/>
        <v>43605886.06053349</v>
      </c>
      <c r="G164" s="398">
        <f t="shared" si="59"/>
        <v>42141672.862733066</v>
      </c>
      <c r="H164" s="398">
        <f t="shared" si="59"/>
        <v>38892909.941961855</v>
      </c>
      <c r="I164" s="398">
        <f t="shared" si="59"/>
        <v>39491660.89705119</v>
      </c>
      <c r="J164" s="398">
        <f t="shared" si="59"/>
        <v>39120281.33784406</v>
      </c>
      <c r="K164" s="398">
        <f t="shared" si="59"/>
        <v>36080289.11426827</v>
      </c>
      <c r="L164" s="398">
        <f>L112</f>
        <v>35608759.042635396</v>
      </c>
      <c r="M164" s="398">
        <f t="shared" si="59"/>
        <v>37631295.22293866</v>
      </c>
      <c r="N164" s="398">
        <f t="shared" si="59"/>
        <v>42480758.44547891</v>
      </c>
      <c r="O164" s="398">
        <f>SUM(C164:N164)</f>
        <v>510121222.59253484</v>
      </c>
    </row>
    <row r="165" spans="1:15" ht="12.75">
      <c r="A165" s="335" t="s">
        <v>117</v>
      </c>
      <c r="C165" s="398">
        <f>+C163-C164</f>
        <v>11694948.297411174</v>
      </c>
      <c r="D165" s="398">
        <f aca="true" t="shared" si="60" ref="D165:N165">+D163-D164</f>
        <v>5052683.631058924</v>
      </c>
      <c r="E165" s="353">
        <f t="shared" si="60"/>
        <v>-1851207.6193428934</v>
      </c>
      <c r="F165" s="353">
        <f t="shared" si="60"/>
        <v>-498721.50341555476</v>
      </c>
      <c r="G165" s="353">
        <f t="shared" si="60"/>
        <v>-3642648.9687549844</v>
      </c>
      <c r="H165" s="398">
        <f t="shared" si="60"/>
        <v>5229001.852938078</v>
      </c>
      <c r="I165" s="398">
        <f t="shared" si="60"/>
        <v>2966707.437207639</v>
      </c>
      <c r="J165" s="398">
        <f t="shared" si="60"/>
        <v>5587044.057509802</v>
      </c>
      <c r="K165" s="398">
        <f t="shared" si="60"/>
        <v>2382353.202832833</v>
      </c>
      <c r="L165" s="398">
        <f t="shared" si="60"/>
        <v>3938208.3653193414</v>
      </c>
      <c r="M165" s="398">
        <f t="shared" si="60"/>
        <v>5460167.987728015</v>
      </c>
      <c r="N165" s="398">
        <f t="shared" si="60"/>
        <v>3051268.5351877585</v>
      </c>
      <c r="O165" s="398">
        <f>SUM(C165:N165)</f>
        <v>39369805.27568013</v>
      </c>
    </row>
    <row r="166" spans="1:15" ht="12.75">
      <c r="A166" s="335" t="s">
        <v>238</v>
      </c>
      <c r="C166" s="398">
        <f>C165</f>
        <v>11694948.297411174</v>
      </c>
      <c r="D166" s="398">
        <f>D165+C166</f>
        <v>16747631.928470097</v>
      </c>
      <c r="E166" s="398">
        <f aca="true" t="shared" si="61" ref="E166:N166">E165+D166</f>
        <v>14896424.309127204</v>
      </c>
      <c r="F166" s="398">
        <f t="shared" si="61"/>
        <v>14397702.80571165</v>
      </c>
      <c r="G166" s="398">
        <f t="shared" si="61"/>
        <v>10755053.836956665</v>
      </c>
      <c r="H166" s="398">
        <f t="shared" si="61"/>
        <v>15984055.689894743</v>
      </c>
      <c r="I166" s="398">
        <f t="shared" si="61"/>
        <v>18950763.127102382</v>
      </c>
      <c r="J166" s="398">
        <f t="shared" si="61"/>
        <v>24537807.184612185</v>
      </c>
      <c r="K166" s="398">
        <f t="shared" si="61"/>
        <v>26920160.387445018</v>
      </c>
      <c r="L166" s="398">
        <f t="shared" si="61"/>
        <v>30858368.75276436</v>
      </c>
      <c r="M166" s="398">
        <f t="shared" si="61"/>
        <v>36318536.74049237</v>
      </c>
      <c r="N166" s="398">
        <f t="shared" si="61"/>
        <v>39369805.27568013</v>
      </c>
      <c r="O166" s="398"/>
    </row>
    <row r="167" spans="1:15" ht="12.75">
      <c r="A167" s="335" t="s">
        <v>232</v>
      </c>
      <c r="C167" s="398">
        <f>C166*$B$162/12</f>
        <v>76699.36925052162</v>
      </c>
      <c r="D167" s="398">
        <f aca="true" t="shared" si="62" ref="D167:M167">D166*$B$162/12</f>
        <v>109836.55273088306</v>
      </c>
      <c r="E167" s="398">
        <f t="shared" si="62"/>
        <v>97695.71609402592</v>
      </c>
      <c r="F167" s="398">
        <f t="shared" si="62"/>
        <v>94424.93423412558</v>
      </c>
      <c r="G167" s="398">
        <f t="shared" si="62"/>
        <v>70535.22808070747</v>
      </c>
      <c r="H167" s="398">
        <f t="shared" si="62"/>
        <v>104828.76523289304</v>
      </c>
      <c r="I167" s="398">
        <f t="shared" si="62"/>
        <v>124285.4215085798</v>
      </c>
      <c r="J167" s="398">
        <f t="shared" si="62"/>
        <v>160927.11878574826</v>
      </c>
      <c r="K167" s="398">
        <f t="shared" si="62"/>
        <v>176551.38520766026</v>
      </c>
      <c r="L167" s="398">
        <f t="shared" si="62"/>
        <v>202379.46840354626</v>
      </c>
      <c r="M167" s="398">
        <f t="shared" si="62"/>
        <v>238189.0701230625</v>
      </c>
      <c r="N167" s="398">
        <f>N166*$B$162/12</f>
        <v>258200.30626633554</v>
      </c>
      <c r="O167" s="398">
        <f>SUM(C167:N167)</f>
        <v>1714553.3359180891</v>
      </c>
    </row>
  </sheetData>
  <sheetProtection/>
  <printOptions/>
  <pageMargins left="0.75" right="0.75" top="1" bottom="1" header="0.5" footer="0.5"/>
  <pageSetup fitToHeight="2" fitToWidth="1" horizontalDpi="600" verticalDpi="600" orientation="landscape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26"/>
  <sheetViews>
    <sheetView view="pageBreakPreview" zoomScale="60" zoomScalePageLayoutView="0" workbookViewId="0" topLeftCell="A1">
      <pane xSplit="1" ySplit="3" topLeftCell="B8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140625" defaultRowHeight="12.75"/>
  <cols>
    <col min="1" max="1" width="51.8515625" style="313" bestFit="1" customWidth="1"/>
    <col min="2" max="2" width="15.57421875" style="313" bestFit="1" customWidth="1"/>
    <col min="3" max="3" width="19.140625" style="313" bestFit="1" customWidth="1"/>
    <col min="4" max="4" width="19.7109375" style="313" bestFit="1" customWidth="1"/>
    <col min="5" max="5" width="19.00390625" style="313" bestFit="1" customWidth="1"/>
    <col min="6" max="6" width="17.57421875" style="313" bestFit="1" customWidth="1"/>
    <col min="7" max="7" width="17.7109375" style="313" bestFit="1" customWidth="1"/>
    <col min="8" max="8" width="18.00390625" style="313" bestFit="1" customWidth="1"/>
    <col min="9" max="9" width="17.7109375" style="313" bestFit="1" customWidth="1"/>
    <col min="10" max="10" width="19.28125" style="313" customWidth="1"/>
    <col min="11" max="11" width="17.7109375" style="313" bestFit="1" customWidth="1"/>
    <col min="12" max="12" width="17.28125" style="313" bestFit="1" customWidth="1"/>
    <col min="13" max="14" width="18.28125" style="313" bestFit="1" customWidth="1"/>
    <col min="15" max="15" width="20.57421875" style="313" bestFit="1" customWidth="1"/>
    <col min="16" max="16" width="11.7109375" style="313" bestFit="1" customWidth="1"/>
    <col min="17" max="16384" width="9.140625" style="313" customWidth="1"/>
  </cols>
  <sheetData>
    <row r="1" ht="12.75">
      <c r="P1" s="317"/>
    </row>
    <row r="2" ht="12.75">
      <c r="P2" s="317"/>
    </row>
    <row r="3" spans="1:16" ht="12.75">
      <c r="A3" s="311" t="s">
        <v>96</v>
      </c>
      <c r="B3" s="311"/>
      <c r="C3" s="312" t="s">
        <v>84</v>
      </c>
      <c r="D3" s="312" t="s">
        <v>85</v>
      </c>
      <c r="E3" s="312" t="s">
        <v>86</v>
      </c>
      <c r="F3" s="312" t="s">
        <v>87</v>
      </c>
      <c r="G3" s="312" t="s">
        <v>88</v>
      </c>
      <c r="H3" s="312" t="s">
        <v>89</v>
      </c>
      <c r="I3" s="312" t="s">
        <v>90</v>
      </c>
      <c r="J3" s="312" t="s">
        <v>91</v>
      </c>
      <c r="K3" s="312" t="s">
        <v>92</v>
      </c>
      <c r="L3" s="312" t="s">
        <v>93</v>
      </c>
      <c r="M3" s="312" t="s">
        <v>94</v>
      </c>
      <c r="N3" s="312" t="s">
        <v>95</v>
      </c>
      <c r="O3" s="312" t="s">
        <v>144</v>
      </c>
      <c r="P3" s="312"/>
    </row>
    <row r="4" spans="1:16" ht="15.75">
      <c r="A4" s="314" t="s">
        <v>97</v>
      </c>
      <c r="B4" s="314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6"/>
      <c r="P4" s="332"/>
    </row>
    <row r="5" spans="1:2" ht="12.75">
      <c r="A5" s="317" t="s">
        <v>41</v>
      </c>
      <c r="B5" s="317"/>
    </row>
    <row r="6" spans="1:15" ht="12.75">
      <c r="A6" s="333" t="s">
        <v>103</v>
      </c>
      <c r="B6" s="333"/>
      <c r="C6" s="329">
        <v>485738701.75450265</v>
      </c>
      <c r="D6" s="329">
        <v>422149010.11793196</v>
      </c>
      <c r="E6" s="329">
        <v>423196941.76407456</v>
      </c>
      <c r="F6" s="329">
        <v>338050242.3049361</v>
      </c>
      <c r="G6" s="329">
        <v>306562184.5933224</v>
      </c>
      <c r="H6" s="329">
        <v>254023645.43686995</v>
      </c>
      <c r="I6" s="329">
        <v>256767903.79674304</v>
      </c>
      <c r="J6" s="329">
        <v>251913175.5956821</v>
      </c>
      <c r="K6" s="329">
        <v>251394271.66381985</v>
      </c>
      <c r="L6" s="329">
        <v>287281210.37025</v>
      </c>
      <c r="M6" s="329">
        <v>331887609.0850421</v>
      </c>
      <c r="N6" s="329">
        <v>433884848.49504596</v>
      </c>
      <c r="O6" s="320">
        <f>SUM(C6:N6)</f>
        <v>4042849744.9782205</v>
      </c>
    </row>
    <row r="7" spans="1:15" ht="15">
      <c r="A7" s="333" t="s">
        <v>104</v>
      </c>
      <c r="B7" s="333"/>
      <c r="C7" s="321">
        <v>30174555.300841954</v>
      </c>
      <c r="D7" s="321">
        <v>25462532.097559385</v>
      </c>
      <c r="E7" s="321">
        <v>24983039.86404707</v>
      </c>
      <c r="F7" s="321">
        <v>20276095.32351207</v>
      </c>
      <c r="G7" s="321">
        <v>15288469.288830362</v>
      </c>
      <c r="H7" s="321">
        <v>9677789.720659656</v>
      </c>
      <c r="I7" s="321">
        <v>8367694.357366956</v>
      </c>
      <c r="J7" s="321">
        <v>7776446.043535877</v>
      </c>
      <c r="K7" s="321">
        <v>8671645.704985362</v>
      </c>
      <c r="L7" s="321">
        <v>12206957.55951918</v>
      </c>
      <c r="M7" s="321">
        <v>18585073.944870602</v>
      </c>
      <c r="N7" s="321">
        <v>32111711.516928405</v>
      </c>
      <c r="O7" s="322">
        <f aca="true" t="shared" si="0" ref="O7:O24">SUM(C7:N7)</f>
        <v>213582010.72265688</v>
      </c>
    </row>
    <row r="8" spans="1:15" ht="12.75">
      <c r="A8" s="333" t="s">
        <v>105</v>
      </c>
      <c r="B8" s="333"/>
      <c r="C8" s="327">
        <f>SUM(C6:C7)</f>
        <v>515913257.0553446</v>
      </c>
      <c r="D8" s="327">
        <f aca="true" t="shared" si="1" ref="D8:N8">SUM(D6:D7)</f>
        <v>447611542.21549135</v>
      </c>
      <c r="E8" s="327">
        <f t="shared" si="1"/>
        <v>448179981.6281216</v>
      </c>
      <c r="F8" s="327">
        <f t="shared" si="1"/>
        <v>358326337.6284482</v>
      </c>
      <c r="G8" s="327">
        <f t="shared" si="1"/>
        <v>321850653.88215274</v>
      </c>
      <c r="H8" s="327">
        <f t="shared" si="1"/>
        <v>263701435.1575296</v>
      </c>
      <c r="I8" s="327">
        <f t="shared" si="1"/>
        <v>265135598.15410998</v>
      </c>
      <c r="J8" s="327">
        <f t="shared" si="1"/>
        <v>259689621.639218</v>
      </c>
      <c r="K8" s="327">
        <f t="shared" si="1"/>
        <v>260065917.3688052</v>
      </c>
      <c r="L8" s="334">
        <f>SUM(L6:L7)</f>
        <v>299488167.92976916</v>
      </c>
      <c r="M8" s="327">
        <f t="shared" si="1"/>
        <v>350472683.0299127</v>
      </c>
      <c r="N8" s="327">
        <f t="shared" si="1"/>
        <v>465996560.01197433</v>
      </c>
      <c r="O8" s="320">
        <f t="shared" si="0"/>
        <v>4256431755.700877</v>
      </c>
    </row>
    <row r="9" spans="1:15" ht="12.75">
      <c r="A9" s="313" t="s">
        <v>49</v>
      </c>
      <c r="C9" s="329">
        <v>24522749.21419191</v>
      </c>
      <c r="D9" s="329">
        <v>22521453.291127644</v>
      </c>
      <c r="E9" s="329">
        <v>21568818.855446555</v>
      </c>
      <c r="F9" s="329">
        <v>18292992.253771555</v>
      </c>
      <c r="G9" s="329">
        <v>16762307.095458116</v>
      </c>
      <c r="H9" s="329">
        <v>15962402.98643821</v>
      </c>
      <c r="I9" s="329">
        <v>16450403.475877156</v>
      </c>
      <c r="J9" s="329">
        <v>16560414.374212392</v>
      </c>
      <c r="K9" s="329">
        <v>14993509.90168996</v>
      </c>
      <c r="L9" s="329">
        <v>16722472.152589729</v>
      </c>
      <c r="M9" s="329">
        <v>17505026.996383205</v>
      </c>
      <c r="N9" s="329">
        <v>21863511.815487586</v>
      </c>
      <c r="O9" s="320">
        <f t="shared" si="0"/>
        <v>223726062.41267404</v>
      </c>
    </row>
    <row r="10" spans="1:15" ht="12.75">
      <c r="A10" s="313" t="s">
        <v>50</v>
      </c>
      <c r="C10" s="329">
        <v>234131545.2510874</v>
      </c>
      <c r="D10" s="329">
        <v>219591384.35090873</v>
      </c>
      <c r="E10" s="329">
        <v>225835895.1500508</v>
      </c>
      <c r="F10" s="329">
        <v>195403002.8766158</v>
      </c>
      <c r="G10" s="329">
        <v>184200362.39594844</v>
      </c>
      <c r="H10" s="329">
        <v>186263640.0083351</v>
      </c>
      <c r="I10" s="329">
        <v>201452199.05172506</v>
      </c>
      <c r="J10" s="329">
        <v>195882460.31987453</v>
      </c>
      <c r="K10" s="329">
        <v>181706741.28761414</v>
      </c>
      <c r="L10" s="329">
        <v>190042477.4616139</v>
      </c>
      <c r="M10" s="329">
        <v>198550072.06029215</v>
      </c>
      <c r="N10" s="329">
        <v>226399460.57456115</v>
      </c>
      <c r="O10" s="320">
        <f t="shared" si="0"/>
        <v>2439459240.788627</v>
      </c>
    </row>
    <row r="11" spans="1:15" ht="12.75">
      <c r="A11" s="313" t="s">
        <v>51</v>
      </c>
      <c r="C11" s="329">
        <v>33381585.069184124</v>
      </c>
      <c r="D11" s="329">
        <v>30937254.45318279</v>
      </c>
      <c r="E11" s="329">
        <v>33761872.17396938</v>
      </c>
      <c r="F11" s="329">
        <v>30816183.576916274</v>
      </c>
      <c r="G11" s="329">
        <v>31889012.378905844</v>
      </c>
      <c r="H11" s="329">
        <v>32271646.154011812</v>
      </c>
      <c r="I11" s="329">
        <v>37126095.65324</v>
      </c>
      <c r="J11" s="329">
        <v>36629138.03574866</v>
      </c>
      <c r="K11" s="329">
        <v>34049265.56837383</v>
      </c>
      <c r="L11" s="329">
        <v>32424681.020058136</v>
      </c>
      <c r="M11" s="329">
        <v>32046398.144849584</v>
      </c>
      <c r="N11" s="329">
        <v>32137661.456799228</v>
      </c>
      <c r="O11" s="320">
        <f t="shared" si="0"/>
        <v>397470793.6852397</v>
      </c>
    </row>
    <row r="12" spans="1:15" ht="12.75">
      <c r="A12" s="313" t="s">
        <v>52</v>
      </c>
      <c r="C12" s="329">
        <v>22513759.125276126</v>
      </c>
      <c r="D12" s="329">
        <v>21583713.90834869</v>
      </c>
      <c r="E12" s="329">
        <v>21647811.137164008</v>
      </c>
      <c r="F12" s="329">
        <v>20652933.067083176</v>
      </c>
      <c r="G12" s="329">
        <v>20815740.8798489</v>
      </c>
      <c r="H12" s="329">
        <v>21730264.270841964</v>
      </c>
      <c r="I12" s="329">
        <v>22089206.794226985</v>
      </c>
      <c r="J12" s="329">
        <v>22047685.372954626</v>
      </c>
      <c r="K12" s="329">
        <v>20608979.473618962</v>
      </c>
      <c r="L12" s="329">
        <v>18980959.580858175</v>
      </c>
      <c r="M12" s="329">
        <v>20818505.20160025</v>
      </c>
      <c r="N12" s="329">
        <v>24142871.669236753</v>
      </c>
      <c r="O12" s="320">
        <f t="shared" si="0"/>
        <v>257632430.4810586</v>
      </c>
    </row>
    <row r="13" spans="1:15" ht="12.75">
      <c r="A13" s="313" t="s">
        <v>53</v>
      </c>
      <c r="C13" s="329">
        <v>43533500.85259501</v>
      </c>
      <c r="D13" s="329">
        <v>39280527.039054565</v>
      </c>
      <c r="E13" s="329">
        <v>41919042.46820835</v>
      </c>
      <c r="F13" s="329">
        <v>41773786.20275665</v>
      </c>
      <c r="G13" s="329">
        <v>41277101.92063706</v>
      </c>
      <c r="H13" s="329">
        <v>43212636.711320736</v>
      </c>
      <c r="I13" s="329">
        <v>43172928.02961167</v>
      </c>
      <c r="J13" s="329">
        <v>43219576.94848226</v>
      </c>
      <c r="K13" s="329">
        <v>42096069.28724925</v>
      </c>
      <c r="L13" s="329">
        <v>42446082.9043947</v>
      </c>
      <c r="M13" s="329">
        <v>41568753.73651885</v>
      </c>
      <c r="N13" s="329">
        <v>42345212.51826267</v>
      </c>
      <c r="O13" s="320">
        <f t="shared" si="0"/>
        <v>505845218.6190918</v>
      </c>
    </row>
    <row r="14" spans="1:15" ht="12.75">
      <c r="A14" s="313" t="s">
        <v>54</v>
      </c>
      <c r="C14" s="329">
        <v>76745125.19211964</v>
      </c>
      <c r="D14" s="329">
        <v>71605515.77406377</v>
      </c>
      <c r="E14" s="329">
        <v>77156214.0465273</v>
      </c>
      <c r="F14" s="329">
        <v>75469431.11132503</v>
      </c>
      <c r="G14" s="329">
        <v>76110163.77469406</v>
      </c>
      <c r="H14" s="329">
        <v>76006479.77861574</v>
      </c>
      <c r="I14" s="329">
        <v>78588178.74271145</v>
      </c>
      <c r="J14" s="329">
        <v>87095393.15702729</v>
      </c>
      <c r="K14" s="329">
        <v>81433822.62675652</v>
      </c>
      <c r="L14" s="329">
        <v>81972947.04251549</v>
      </c>
      <c r="M14" s="329">
        <v>79157136.53374465</v>
      </c>
      <c r="N14" s="329">
        <v>74955786.71943983</v>
      </c>
      <c r="O14" s="320">
        <f t="shared" si="0"/>
        <v>936296194.4995408</v>
      </c>
    </row>
    <row r="15" spans="1:15" ht="12.75">
      <c r="A15" s="313" t="s">
        <v>58</v>
      </c>
      <c r="C15" s="326">
        <v>37384512</v>
      </c>
      <c r="D15" s="326">
        <v>34972608</v>
      </c>
      <c r="E15" s="326">
        <v>37384512</v>
      </c>
      <c r="F15" s="326">
        <v>36178560.00000001</v>
      </c>
      <c r="G15" s="326">
        <v>37384512</v>
      </c>
      <c r="H15" s="326">
        <v>36178560.00000001</v>
      </c>
      <c r="I15" s="326">
        <v>37384512</v>
      </c>
      <c r="J15" s="326">
        <v>37384512</v>
      </c>
      <c r="K15" s="326">
        <v>36178560.00000001</v>
      </c>
      <c r="L15" s="326">
        <v>37384512</v>
      </c>
      <c r="M15" s="326">
        <v>36178560.00000001</v>
      </c>
      <c r="N15" s="326">
        <v>37384512</v>
      </c>
      <c r="O15" s="320">
        <f t="shared" si="0"/>
        <v>441378432</v>
      </c>
    </row>
    <row r="16" spans="1:15" ht="12.75">
      <c r="A16" s="313" t="s">
        <v>55</v>
      </c>
      <c r="C16" s="329">
        <v>20233125.946737178</v>
      </c>
      <c r="D16" s="329">
        <v>19230624.641417686</v>
      </c>
      <c r="E16" s="329">
        <v>19222769.890894093</v>
      </c>
      <c r="F16" s="329">
        <v>15688666.208527252</v>
      </c>
      <c r="G16" s="329">
        <v>14068098.582978943</v>
      </c>
      <c r="H16" s="329">
        <v>12960517.696802488</v>
      </c>
      <c r="I16" s="329">
        <v>14283715.84644799</v>
      </c>
      <c r="J16" s="329">
        <v>14083977.89551326</v>
      </c>
      <c r="K16" s="329">
        <v>13761331.805286711</v>
      </c>
      <c r="L16" s="329">
        <v>14819525.462924251</v>
      </c>
      <c r="M16" s="329">
        <v>16564413.997305749</v>
      </c>
      <c r="N16" s="329">
        <v>19625109.035424177</v>
      </c>
      <c r="O16" s="320">
        <f t="shared" si="0"/>
        <v>194541877.01025978</v>
      </c>
    </row>
    <row r="17" spans="1:15" ht="15">
      <c r="A17" s="313" t="s">
        <v>56</v>
      </c>
      <c r="C17" s="321">
        <v>9430668.366440058</v>
      </c>
      <c r="D17" s="321">
        <v>8981026.527056137</v>
      </c>
      <c r="E17" s="321">
        <v>9415134.275418913</v>
      </c>
      <c r="F17" s="321">
        <v>9083376.82961514</v>
      </c>
      <c r="G17" s="321">
        <v>9624632.1461458</v>
      </c>
      <c r="H17" s="321">
        <v>9160943.004364125</v>
      </c>
      <c r="I17" s="321">
        <v>9004521.565378614</v>
      </c>
      <c r="J17" s="321">
        <v>9335968.337165765</v>
      </c>
      <c r="K17" s="321">
        <v>9430313.723309599</v>
      </c>
      <c r="L17" s="321">
        <v>9205285.434086429</v>
      </c>
      <c r="M17" s="321">
        <v>9773759.545242697</v>
      </c>
      <c r="N17" s="321">
        <v>9835015.343475841</v>
      </c>
      <c r="O17" s="322">
        <f t="shared" si="0"/>
        <v>112280645.0976991</v>
      </c>
    </row>
    <row r="18" spans="1:15" ht="12.75">
      <c r="A18" s="317" t="s">
        <v>60</v>
      </c>
      <c r="C18" s="324">
        <f>SUM(C8:C17)</f>
        <v>1017789828.0729759</v>
      </c>
      <c r="D18" s="324">
        <f aca="true" t="shared" si="2" ref="D18:N18">SUM(D8:D17)</f>
        <v>916315650.2006513</v>
      </c>
      <c r="E18" s="324">
        <f t="shared" si="2"/>
        <v>936092051.6258008</v>
      </c>
      <c r="F18" s="324">
        <f t="shared" si="2"/>
        <v>801685269.7550589</v>
      </c>
      <c r="G18" s="324">
        <f t="shared" si="2"/>
        <v>753982585.05677</v>
      </c>
      <c r="H18" s="324">
        <f t="shared" si="2"/>
        <v>697448525.7682598</v>
      </c>
      <c r="I18" s="324">
        <f t="shared" si="2"/>
        <v>724687359.3133289</v>
      </c>
      <c r="J18" s="324">
        <f t="shared" si="2"/>
        <v>721928748.0801967</v>
      </c>
      <c r="K18" s="324">
        <f t="shared" si="2"/>
        <v>694324511.0427042</v>
      </c>
      <c r="L18" s="324">
        <f t="shared" si="2"/>
        <v>743487110.9888101</v>
      </c>
      <c r="M18" s="324">
        <f t="shared" si="2"/>
        <v>802635309.2458497</v>
      </c>
      <c r="N18" s="324">
        <f t="shared" si="2"/>
        <v>954685701.1446617</v>
      </c>
      <c r="O18" s="325">
        <f>SUM(O8:O17)</f>
        <v>9765062650.295067</v>
      </c>
    </row>
    <row r="19" ht="12.75">
      <c r="O19" s="320"/>
    </row>
    <row r="20" spans="1:15" ht="12.75">
      <c r="A20" s="317" t="s">
        <v>100</v>
      </c>
      <c r="B20" s="317"/>
      <c r="O20" s="320"/>
    </row>
    <row r="21" spans="1:15" ht="12.75">
      <c r="A21" s="313" t="s">
        <v>83</v>
      </c>
      <c r="C21" s="329">
        <v>15498000</v>
      </c>
      <c r="D21" s="329">
        <v>13482000</v>
      </c>
      <c r="E21" s="329">
        <v>15498000</v>
      </c>
      <c r="F21" s="329">
        <v>14490000</v>
      </c>
      <c r="G21" s="329">
        <v>15498000</v>
      </c>
      <c r="H21" s="329">
        <v>14490000</v>
      </c>
      <c r="I21" s="329">
        <v>15498000</v>
      </c>
      <c r="J21" s="329">
        <v>15498000</v>
      </c>
      <c r="K21" s="329">
        <v>14490000</v>
      </c>
      <c r="L21" s="329">
        <v>15498000</v>
      </c>
      <c r="M21" s="329">
        <v>14490000</v>
      </c>
      <c r="N21" s="329">
        <v>15498000</v>
      </c>
      <c r="O21" s="320">
        <f t="shared" si="0"/>
        <v>179928000</v>
      </c>
    </row>
    <row r="22" spans="1:15" ht="12.75">
      <c r="A22" s="313" t="s">
        <v>64</v>
      </c>
      <c r="C22" s="329">
        <v>990072</v>
      </c>
      <c r="D22" s="329">
        <v>1221360</v>
      </c>
      <c r="E22" s="329">
        <v>38165.95</v>
      </c>
      <c r="F22" s="329">
        <v>1461992</v>
      </c>
      <c r="G22" s="329">
        <v>441729</v>
      </c>
      <c r="H22" s="329">
        <v>576793.05</v>
      </c>
      <c r="I22" s="329">
        <v>1591343</v>
      </c>
      <c r="J22" s="329">
        <v>2833973</v>
      </c>
      <c r="K22" s="329">
        <v>6682206</v>
      </c>
      <c r="L22" s="329">
        <v>1466769.65</v>
      </c>
      <c r="M22" s="329">
        <v>1309936.4100000001</v>
      </c>
      <c r="N22" s="329">
        <v>200343</v>
      </c>
      <c r="O22" s="320">
        <f t="shared" si="0"/>
        <v>18814683.06</v>
      </c>
    </row>
    <row r="23" spans="1:15" ht="12.75">
      <c r="A23" s="313" t="s">
        <v>120</v>
      </c>
      <c r="C23" s="329">
        <v>15750000</v>
      </c>
      <c r="D23" s="329">
        <v>15750000</v>
      </c>
      <c r="E23" s="329">
        <v>15750000</v>
      </c>
      <c r="F23" s="329">
        <v>15750000</v>
      </c>
      <c r="G23" s="329">
        <v>15750000</v>
      </c>
      <c r="H23" s="329">
        <v>15750000</v>
      </c>
      <c r="I23" s="329">
        <v>15750000</v>
      </c>
      <c r="J23" s="329">
        <v>15750000</v>
      </c>
      <c r="K23" s="329">
        <v>15750000</v>
      </c>
      <c r="L23" s="329">
        <v>15750000</v>
      </c>
      <c r="M23" s="329">
        <v>15750000</v>
      </c>
      <c r="N23" s="329">
        <v>15750000</v>
      </c>
      <c r="O23" s="320">
        <f t="shared" si="0"/>
        <v>189000000</v>
      </c>
    </row>
    <row r="24" spans="1:15" ht="12.75">
      <c r="A24" s="313" t="s">
        <v>116</v>
      </c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6"/>
      <c r="N24" s="326"/>
      <c r="O24" s="320">
        <f t="shared" si="0"/>
        <v>0</v>
      </c>
    </row>
    <row r="25" spans="1:15" ht="12.75">
      <c r="A25" s="317" t="s">
        <v>109</v>
      </c>
      <c r="C25" s="324">
        <f>SUM(C21:C24)</f>
        <v>32238072</v>
      </c>
      <c r="D25" s="324">
        <f aca="true" t="shared" si="3" ref="D25:N25">SUM(D21:D24)</f>
        <v>30453360</v>
      </c>
      <c r="E25" s="324">
        <f t="shared" si="3"/>
        <v>31286165.95</v>
      </c>
      <c r="F25" s="324">
        <f t="shared" si="3"/>
        <v>31701992</v>
      </c>
      <c r="G25" s="324">
        <f t="shared" si="3"/>
        <v>31689729</v>
      </c>
      <c r="H25" s="324">
        <f t="shared" si="3"/>
        <v>30816793.05</v>
      </c>
      <c r="I25" s="324">
        <f t="shared" si="3"/>
        <v>32839343</v>
      </c>
      <c r="J25" s="324">
        <f t="shared" si="3"/>
        <v>34081973</v>
      </c>
      <c r="K25" s="324">
        <f t="shared" si="3"/>
        <v>36922206</v>
      </c>
      <c r="L25" s="324">
        <f t="shared" si="3"/>
        <v>32714769.65</v>
      </c>
      <c r="M25" s="324">
        <f t="shared" si="3"/>
        <v>31549936.41</v>
      </c>
      <c r="N25" s="324">
        <f t="shared" si="3"/>
        <v>31448343</v>
      </c>
      <c r="O25" s="325">
        <f>SUM(O21:O24)</f>
        <v>387742683.06</v>
      </c>
    </row>
    <row r="26" spans="3:15" ht="12.75"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0"/>
    </row>
    <row r="27" spans="1:15" ht="12.75">
      <c r="A27" s="317" t="s">
        <v>226</v>
      </c>
      <c r="C27" s="324">
        <v>1174273689.348451</v>
      </c>
      <c r="D27" s="324">
        <v>1093376626.7961147</v>
      </c>
      <c r="E27" s="324">
        <v>1122837376.828743</v>
      </c>
      <c r="F27" s="324">
        <v>970421925.4439958</v>
      </c>
      <c r="G27" s="324">
        <v>945969578.9651207</v>
      </c>
      <c r="H27" s="324">
        <v>858517122.2120391</v>
      </c>
      <c r="I27" s="324">
        <v>890970151.3090796</v>
      </c>
      <c r="J27" s="324">
        <v>867579717.1319131</v>
      </c>
      <c r="K27" s="324">
        <v>786462565.0114111</v>
      </c>
      <c r="L27" s="324">
        <v>767249914.9452654</v>
      </c>
      <c r="M27" s="324">
        <v>836335388.6092087</v>
      </c>
      <c r="N27" s="324">
        <v>987383929.6654036</v>
      </c>
      <c r="O27" s="324">
        <f>O18+O25</f>
        <v>10152805333.355066</v>
      </c>
    </row>
    <row r="28" ht="12.75">
      <c r="O28" s="320"/>
    </row>
    <row r="29" spans="1:15" ht="12.75">
      <c r="A29" s="317" t="s">
        <v>101</v>
      </c>
      <c r="B29" s="317"/>
      <c r="C29" s="329">
        <v>7731000</v>
      </c>
      <c r="D29" s="329">
        <v>4800000</v>
      </c>
      <c r="E29" s="329">
        <v>37826000</v>
      </c>
      <c r="F29" s="329">
        <v>969000</v>
      </c>
      <c r="G29" s="329">
        <v>5332000</v>
      </c>
      <c r="H29" s="329">
        <v>2422000</v>
      </c>
      <c r="I29" s="329">
        <v>2910000</v>
      </c>
      <c r="J29" s="329">
        <v>2910000</v>
      </c>
      <c r="K29" s="329">
        <v>15032000</v>
      </c>
      <c r="L29" s="329">
        <v>10182000</v>
      </c>
      <c r="M29" s="329">
        <v>37343000</v>
      </c>
      <c r="N29" s="329">
        <v>4780000</v>
      </c>
      <c r="O29" s="325">
        <f>SUM(C29:N29)</f>
        <v>132237000</v>
      </c>
    </row>
    <row r="31" spans="1:6" ht="15.75">
      <c r="A31" s="314" t="s">
        <v>220</v>
      </c>
      <c r="B31" s="314"/>
      <c r="F31" s="331"/>
    </row>
    <row r="32" spans="1:6" ht="12.75">
      <c r="A32" s="317" t="s">
        <v>41</v>
      </c>
      <c r="B32" s="317"/>
      <c r="F32" s="320"/>
    </row>
    <row r="33" spans="1:16" ht="12.75">
      <c r="A33" s="335" t="s">
        <v>103</v>
      </c>
      <c r="B33" s="317"/>
      <c r="C33" s="336">
        <v>811135.6126500005</v>
      </c>
      <c r="D33" s="336">
        <v>737941.1638500001</v>
      </c>
      <c r="E33" s="336">
        <v>717062.9302094418</v>
      </c>
      <c r="F33" s="336">
        <v>565670.6759171251</v>
      </c>
      <c r="G33" s="336">
        <v>524608.8584956122</v>
      </c>
      <c r="H33" s="336">
        <v>432918.6801550021</v>
      </c>
      <c r="I33" s="336">
        <v>422113.7323988008</v>
      </c>
      <c r="J33" s="336">
        <v>422512.9707499439</v>
      </c>
      <c r="K33" s="336">
        <v>424422.7944979646</v>
      </c>
      <c r="L33" s="336">
        <v>471525.96151915676</v>
      </c>
      <c r="M33" s="336">
        <v>546755.8148534477</v>
      </c>
      <c r="N33" s="336">
        <v>659772.0948321933</v>
      </c>
      <c r="O33" s="337">
        <f>SUM(C33:N33)</f>
        <v>6736441.290128688</v>
      </c>
      <c r="P33" s="337"/>
    </row>
    <row r="34" spans="1:16" ht="15">
      <c r="A34" s="335" t="s">
        <v>104</v>
      </c>
      <c r="B34" s="317"/>
      <c r="C34" s="338">
        <v>40477.75519360096</v>
      </c>
      <c r="D34" s="338">
        <v>38910.87543139197</v>
      </c>
      <c r="E34" s="338">
        <v>38844.636727401485</v>
      </c>
      <c r="F34" s="338">
        <v>31437.996484815376</v>
      </c>
      <c r="G34" s="338">
        <v>22381.192373605758</v>
      </c>
      <c r="H34" s="338">
        <v>15082.773754967018</v>
      </c>
      <c r="I34" s="338">
        <v>11985.224901489704</v>
      </c>
      <c r="J34" s="338">
        <v>12278.461958231634</v>
      </c>
      <c r="K34" s="338">
        <v>13740.162269351695</v>
      </c>
      <c r="L34" s="338">
        <v>18524.049637604632</v>
      </c>
      <c r="M34" s="338">
        <v>28954.180064301425</v>
      </c>
      <c r="N34" s="338">
        <v>44086.89055405965</v>
      </c>
      <c r="O34" s="339">
        <f>SUM(C34:N34)</f>
        <v>316704.1993508213</v>
      </c>
      <c r="P34" s="337"/>
    </row>
    <row r="35" spans="1:16" ht="12.75">
      <c r="A35" s="335" t="s">
        <v>105</v>
      </c>
      <c r="B35" s="340"/>
      <c r="C35" s="337">
        <f>SUM(C33:C34)</f>
        <v>851613.3678436015</v>
      </c>
      <c r="D35" s="337">
        <f aca="true" t="shared" si="4" ref="D35:N35">SUM(D33:D34)</f>
        <v>776852.0392813921</v>
      </c>
      <c r="E35" s="337">
        <f t="shared" si="4"/>
        <v>755907.5669368433</v>
      </c>
      <c r="F35" s="337">
        <f t="shared" si="4"/>
        <v>597108.6724019405</v>
      </c>
      <c r="G35" s="337">
        <f t="shared" si="4"/>
        <v>546990.050869218</v>
      </c>
      <c r="H35" s="337">
        <f t="shared" si="4"/>
        <v>448001.45390996913</v>
      </c>
      <c r="I35" s="337">
        <f t="shared" si="4"/>
        <v>434098.95730029047</v>
      </c>
      <c r="J35" s="337">
        <f t="shared" si="4"/>
        <v>434791.43270817556</v>
      </c>
      <c r="K35" s="337">
        <f t="shared" si="4"/>
        <v>438162.9567673163</v>
      </c>
      <c r="L35" s="337">
        <f t="shared" si="4"/>
        <v>490050.0111567614</v>
      </c>
      <c r="M35" s="337">
        <f t="shared" si="4"/>
        <v>575709.9949177492</v>
      </c>
      <c r="N35" s="337">
        <f t="shared" si="4"/>
        <v>703858.985386253</v>
      </c>
      <c r="O35" s="337">
        <f>SUM(C35:N35)</f>
        <v>7053145.48947951</v>
      </c>
      <c r="P35" s="337"/>
    </row>
    <row r="36" spans="1:16" ht="12.75">
      <c r="A36" s="341" t="s">
        <v>49</v>
      </c>
      <c r="B36" s="340"/>
      <c r="C36" s="336">
        <v>41840.579280511825</v>
      </c>
      <c r="D36" s="336">
        <v>39992.0059071411</v>
      </c>
      <c r="E36" s="336">
        <v>41379.80728453734</v>
      </c>
      <c r="F36" s="336">
        <v>32854.95955983976</v>
      </c>
      <c r="G36" s="336">
        <v>32908.12474627299</v>
      </c>
      <c r="H36" s="336">
        <v>28346.162824217743</v>
      </c>
      <c r="I36" s="336">
        <v>29175.31140269284</v>
      </c>
      <c r="J36" s="336">
        <v>28984.25637129207</v>
      </c>
      <c r="K36" s="336">
        <v>29522.73789072609</v>
      </c>
      <c r="L36" s="336">
        <v>30186.82286666908</v>
      </c>
      <c r="M36" s="336">
        <v>29513.12366485659</v>
      </c>
      <c r="N36" s="336">
        <v>34055.700799106125</v>
      </c>
      <c r="O36" s="337">
        <f aca="true" t="shared" si="5" ref="O36:O48">SUM(C36:N36)</f>
        <v>398759.5925978635</v>
      </c>
      <c r="P36" s="337"/>
    </row>
    <row r="37" spans="1:16" ht="12.75">
      <c r="A37" s="341" t="s">
        <v>50</v>
      </c>
      <c r="B37" s="340"/>
      <c r="C37" s="336">
        <v>318640.6540133255</v>
      </c>
      <c r="D37" s="336">
        <v>302400.3321516311</v>
      </c>
      <c r="E37" s="336">
        <v>303485.4675316164</v>
      </c>
      <c r="F37" s="336">
        <v>257911.20380873425</v>
      </c>
      <c r="G37" s="336">
        <v>252846.12446170987</v>
      </c>
      <c r="H37" s="336">
        <v>251722.8241738723</v>
      </c>
      <c r="I37" s="336">
        <v>260460.92440701238</v>
      </c>
      <c r="J37" s="336">
        <v>253482.518676556</v>
      </c>
      <c r="K37" s="336">
        <v>242630.22648348406</v>
      </c>
      <c r="L37" s="336">
        <v>262240.87858841685</v>
      </c>
      <c r="M37" s="336">
        <v>260310.7983566597</v>
      </c>
      <c r="N37" s="336">
        <v>289692.674834736</v>
      </c>
      <c r="O37" s="337">
        <f t="shared" si="5"/>
        <v>3255824.627487755</v>
      </c>
      <c r="P37" s="337"/>
    </row>
    <row r="38" spans="1:16" ht="12.75">
      <c r="A38" s="341" t="s">
        <v>51</v>
      </c>
      <c r="B38" s="340"/>
      <c r="C38" s="336">
        <v>32639.798010000002</v>
      </c>
      <c r="D38" s="336">
        <v>28623.07035</v>
      </c>
      <c r="E38" s="336">
        <v>34619.05098</v>
      </c>
      <c r="F38" s="336">
        <v>30135.9525</v>
      </c>
      <c r="G38" s="336">
        <v>31159.680690000005</v>
      </c>
      <c r="H38" s="336">
        <v>30820.027950000003</v>
      </c>
      <c r="I38" s="336">
        <v>35311.5048</v>
      </c>
      <c r="J38" s="336">
        <v>35696.95167</v>
      </c>
      <c r="K38" s="336">
        <v>33304.50435</v>
      </c>
      <c r="L38" s="336">
        <v>32404.140660000005</v>
      </c>
      <c r="M38" s="336">
        <v>30282.989220000003</v>
      </c>
      <c r="N38" s="336">
        <v>30852.671879999998</v>
      </c>
      <c r="O38" s="337">
        <f t="shared" si="5"/>
        <v>385850.34306000004</v>
      </c>
      <c r="P38" s="337"/>
    </row>
    <row r="39" spans="1:16" ht="12.75">
      <c r="A39" s="341" t="s">
        <v>52</v>
      </c>
      <c r="B39" s="340"/>
      <c r="C39" s="336">
        <v>29626.239943166598</v>
      </c>
      <c r="D39" s="336">
        <v>27512.48386733837</v>
      </c>
      <c r="E39" s="336">
        <v>29540.541782301894</v>
      </c>
      <c r="F39" s="336">
        <v>25082.68675027877</v>
      </c>
      <c r="G39" s="336">
        <v>25826.535058033496</v>
      </c>
      <c r="H39" s="336">
        <v>25132.173824449244</v>
      </c>
      <c r="I39" s="336">
        <v>28606.2664577424</v>
      </c>
      <c r="J39" s="336">
        <v>23441.55250833945</v>
      </c>
      <c r="K39" s="336">
        <v>26336.659426525985</v>
      </c>
      <c r="L39" s="336">
        <v>20595.001612989192</v>
      </c>
      <c r="M39" s="336">
        <v>26369.18516791289</v>
      </c>
      <c r="N39" s="336">
        <v>26645.131509639476</v>
      </c>
      <c r="O39" s="337">
        <f t="shared" si="5"/>
        <v>314714.45790871786</v>
      </c>
      <c r="P39" s="337"/>
    </row>
    <row r="40" spans="1:16" ht="12.75">
      <c r="A40" s="341" t="s">
        <v>53</v>
      </c>
      <c r="B40" s="340"/>
      <c r="C40" s="336">
        <v>41445.922996896996</v>
      </c>
      <c r="D40" s="336">
        <v>43035.46092784444</v>
      </c>
      <c r="E40" s="336">
        <v>48166.332142041276</v>
      </c>
      <c r="F40" s="336">
        <v>46865.16955159378</v>
      </c>
      <c r="G40" s="336">
        <v>42470.319957451204</v>
      </c>
      <c r="H40" s="336">
        <v>46173.72193402744</v>
      </c>
      <c r="I40" s="336">
        <v>45958.1712001199</v>
      </c>
      <c r="J40" s="336">
        <v>44427.91754763815</v>
      </c>
      <c r="K40" s="336">
        <v>47833.6575279944</v>
      </c>
      <c r="L40" s="336">
        <v>46392.44446855779</v>
      </c>
      <c r="M40" s="336">
        <v>46940.71966737257</v>
      </c>
      <c r="N40" s="336">
        <v>46342.84014553509</v>
      </c>
      <c r="O40" s="337">
        <f t="shared" si="5"/>
        <v>546052.6780670731</v>
      </c>
      <c r="P40" s="337"/>
    </row>
    <row r="41" spans="1:16" ht="12.75">
      <c r="A41" s="341" t="s">
        <v>54</v>
      </c>
      <c r="B41" s="340"/>
      <c r="C41" s="336">
        <v>62704.99124639999</v>
      </c>
      <c r="D41" s="336">
        <v>58947.885820799995</v>
      </c>
      <c r="E41" s="336">
        <v>62805.787848899985</v>
      </c>
      <c r="F41" s="336">
        <v>61246.2970764</v>
      </c>
      <c r="G41" s="336">
        <v>62085.25826999999</v>
      </c>
      <c r="H41" s="336">
        <v>62736.560818199985</v>
      </c>
      <c r="I41" s="336">
        <v>62379.74664899999</v>
      </c>
      <c r="J41" s="336">
        <v>64313.49822119999</v>
      </c>
      <c r="K41" s="336">
        <v>65477.8429029</v>
      </c>
      <c r="L41" s="336">
        <v>62767.2898611</v>
      </c>
      <c r="M41" s="336">
        <v>62629.6581927</v>
      </c>
      <c r="N41" s="336">
        <v>53249.303682900005</v>
      </c>
      <c r="O41" s="337">
        <f t="shared" si="5"/>
        <v>741344.1205905</v>
      </c>
      <c r="P41" s="337"/>
    </row>
    <row r="42" spans="1:16" ht="12.75">
      <c r="A42" s="341" t="s">
        <v>58</v>
      </c>
      <c r="B42" s="340"/>
      <c r="C42" s="336">
        <v>130470.59852999999</v>
      </c>
      <c r="D42" s="336">
        <v>117520.26021</v>
      </c>
      <c r="E42" s="336">
        <v>129310.12206</v>
      </c>
      <c r="F42" s="336">
        <v>126407.4336</v>
      </c>
      <c r="G42" s="336">
        <v>130618.07766</v>
      </c>
      <c r="H42" s="336">
        <v>124839.33516</v>
      </c>
      <c r="I42" s="336">
        <v>130185.72071999998</v>
      </c>
      <c r="J42" s="336">
        <v>130000.47291</v>
      </c>
      <c r="K42" s="336">
        <v>71825.77314</v>
      </c>
      <c r="L42" s="336">
        <v>20987.03034</v>
      </c>
      <c r="M42" s="336">
        <v>16542.53928</v>
      </c>
      <c r="N42" s="336">
        <v>15201.92529</v>
      </c>
      <c r="O42" s="337">
        <f t="shared" si="5"/>
        <v>1143909.2888999998</v>
      </c>
      <c r="P42" s="337"/>
    </row>
    <row r="43" spans="1:16" ht="12.75">
      <c r="A43" s="341" t="s">
        <v>55</v>
      </c>
      <c r="B43" s="340"/>
      <c r="C43" s="336">
        <v>23075.804579999996</v>
      </c>
      <c r="D43" s="336">
        <v>21800.804109999997</v>
      </c>
      <c r="E43" s="336">
        <v>21897.87337</v>
      </c>
      <c r="F43" s="336">
        <v>17816.78119</v>
      </c>
      <c r="G43" s="336">
        <v>15888.261040000001</v>
      </c>
      <c r="H43" s="336">
        <v>14294.532769999998</v>
      </c>
      <c r="I43" s="336">
        <v>15376.60608</v>
      </c>
      <c r="J43" s="336">
        <v>15327.748269999998</v>
      </c>
      <c r="K43" s="336">
        <v>14981.639439999999</v>
      </c>
      <c r="L43" s="336">
        <v>17240.216769999995</v>
      </c>
      <c r="M43" s="336">
        <v>17872.64839</v>
      </c>
      <c r="N43" s="336">
        <v>20648.389429999996</v>
      </c>
      <c r="O43" s="337">
        <f t="shared" si="5"/>
        <v>216221.30543999997</v>
      </c>
      <c r="P43" s="337"/>
    </row>
    <row r="44" spans="1:16" ht="15">
      <c r="A44" s="341" t="s">
        <v>56</v>
      </c>
      <c r="B44" s="340"/>
      <c r="C44" s="338">
        <v>9216.222332673251</v>
      </c>
      <c r="D44" s="338">
        <v>9273.62606800761</v>
      </c>
      <c r="E44" s="338">
        <v>10323.788425426736</v>
      </c>
      <c r="F44" s="338">
        <v>9594.10258252285</v>
      </c>
      <c r="G44" s="338">
        <v>10303.278539302704</v>
      </c>
      <c r="H44" s="338">
        <v>9309.456131710964</v>
      </c>
      <c r="I44" s="338">
        <v>9710.738791007268</v>
      </c>
      <c r="J44" s="338">
        <v>9914.881377470672</v>
      </c>
      <c r="K44" s="338">
        <v>10270.74180842041</v>
      </c>
      <c r="L44" s="338">
        <v>9660.629085518194</v>
      </c>
      <c r="M44" s="338">
        <v>10647.909447314421</v>
      </c>
      <c r="N44" s="338">
        <v>9236.7892264729</v>
      </c>
      <c r="O44" s="339">
        <f t="shared" si="5"/>
        <v>117462.163815848</v>
      </c>
      <c r="P44" s="337"/>
    </row>
    <row r="45" spans="1:16" ht="12.75">
      <c r="A45" s="342" t="s">
        <v>60</v>
      </c>
      <c r="B45" s="340"/>
      <c r="C45" s="343">
        <f>SUM(C35:C44)</f>
        <v>1541274.1787765755</v>
      </c>
      <c r="D45" s="343">
        <f aca="true" t="shared" si="6" ref="D45:N45">SUM(D35:D44)</f>
        <v>1425957.9686941549</v>
      </c>
      <c r="E45" s="343">
        <f t="shared" si="6"/>
        <v>1437436.338361667</v>
      </c>
      <c r="F45" s="343">
        <f t="shared" si="6"/>
        <v>1205023.2590213101</v>
      </c>
      <c r="G45" s="343">
        <f t="shared" si="6"/>
        <v>1151095.7112919884</v>
      </c>
      <c r="H45" s="343">
        <f t="shared" si="6"/>
        <v>1041376.249496447</v>
      </c>
      <c r="I45" s="343">
        <f t="shared" si="6"/>
        <v>1051263.9478078652</v>
      </c>
      <c r="J45" s="343">
        <f t="shared" si="6"/>
        <v>1040381.2302606718</v>
      </c>
      <c r="K45" s="343">
        <f t="shared" si="6"/>
        <v>980346.7397373671</v>
      </c>
      <c r="L45" s="343">
        <f t="shared" si="6"/>
        <v>992524.4654100126</v>
      </c>
      <c r="M45" s="343">
        <f t="shared" si="6"/>
        <v>1076819.5663045654</v>
      </c>
      <c r="N45" s="343">
        <f t="shared" si="6"/>
        <v>1229784.4121846426</v>
      </c>
      <c r="O45" s="343">
        <f>SUM(O35:O44)</f>
        <v>14173284.067347268</v>
      </c>
      <c r="P45" s="337"/>
    </row>
    <row r="46" spans="1:16" ht="12.75">
      <c r="A46" s="344"/>
      <c r="B46" s="340"/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</row>
    <row r="47" spans="1:16" ht="12.75">
      <c r="A47" s="344" t="s">
        <v>221</v>
      </c>
      <c r="B47" s="340"/>
      <c r="C47" s="336">
        <v>14103.18</v>
      </c>
      <c r="D47" s="336">
        <v>11351.34</v>
      </c>
      <c r="E47" s="336">
        <v>14064.96</v>
      </c>
      <c r="F47" s="336">
        <v>13185.9</v>
      </c>
      <c r="G47" s="336">
        <v>14103.18</v>
      </c>
      <c r="H47" s="336">
        <v>13185.9</v>
      </c>
      <c r="I47" s="336">
        <v>14103.18</v>
      </c>
      <c r="J47" s="336">
        <v>14103.18</v>
      </c>
      <c r="K47" s="336">
        <v>13185.9</v>
      </c>
      <c r="L47" s="336">
        <v>14103.18</v>
      </c>
      <c r="M47" s="336">
        <v>9185.54</v>
      </c>
      <c r="N47" s="336">
        <v>13910.75686</v>
      </c>
      <c r="O47" s="337">
        <f t="shared" si="5"/>
        <v>158586.19685999997</v>
      </c>
      <c r="P47" s="337"/>
    </row>
    <row r="48" spans="1:16" ht="15">
      <c r="A48" s="344" t="s">
        <v>222</v>
      </c>
      <c r="B48" s="340"/>
      <c r="C48" s="338">
        <v>0</v>
      </c>
      <c r="D48" s="338">
        <v>0</v>
      </c>
      <c r="E48" s="338"/>
      <c r="F48" s="338"/>
      <c r="G48" s="338">
        <v>0</v>
      </c>
      <c r="H48" s="338">
        <v>0</v>
      </c>
      <c r="I48" s="338">
        <v>0</v>
      </c>
      <c r="J48" s="338">
        <v>0</v>
      </c>
      <c r="K48" s="338">
        <v>0</v>
      </c>
      <c r="L48" s="338">
        <v>0</v>
      </c>
      <c r="M48" s="338">
        <v>0</v>
      </c>
      <c r="N48" s="338">
        <v>0</v>
      </c>
      <c r="O48" s="339">
        <f t="shared" si="5"/>
        <v>0</v>
      </c>
      <c r="P48" s="337"/>
    </row>
    <row r="49" spans="1:16" ht="12.75">
      <c r="A49" s="342" t="s">
        <v>224</v>
      </c>
      <c r="B49" s="340"/>
      <c r="C49" s="343">
        <f>SUM(C47:C48)</f>
        <v>14103.18</v>
      </c>
      <c r="D49" s="343">
        <f aca="true" t="shared" si="7" ref="D49:N49">SUM(D47:D48)</f>
        <v>11351.34</v>
      </c>
      <c r="E49" s="343">
        <f t="shared" si="7"/>
        <v>14064.96</v>
      </c>
      <c r="F49" s="343">
        <f t="shared" si="7"/>
        <v>13185.9</v>
      </c>
      <c r="G49" s="343">
        <f t="shared" si="7"/>
        <v>14103.18</v>
      </c>
      <c r="H49" s="343">
        <f t="shared" si="7"/>
        <v>13185.9</v>
      </c>
      <c r="I49" s="343">
        <f t="shared" si="7"/>
        <v>14103.18</v>
      </c>
      <c r="J49" s="343">
        <f t="shared" si="7"/>
        <v>14103.18</v>
      </c>
      <c r="K49" s="343">
        <f t="shared" si="7"/>
        <v>13185.9</v>
      </c>
      <c r="L49" s="343">
        <f t="shared" si="7"/>
        <v>14103.18</v>
      </c>
      <c r="M49" s="343">
        <f t="shared" si="7"/>
        <v>9185.54</v>
      </c>
      <c r="N49" s="343">
        <f t="shared" si="7"/>
        <v>13910.75686</v>
      </c>
      <c r="O49" s="343">
        <f>SUM(O47:O48)</f>
        <v>158586.19685999997</v>
      </c>
      <c r="P49" s="337"/>
    </row>
    <row r="50" spans="1:16" ht="12.75">
      <c r="A50" s="342"/>
      <c r="B50" s="340"/>
      <c r="C50" s="337"/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</row>
    <row r="51" spans="1:16" ht="12.75">
      <c r="A51" s="342" t="s">
        <v>225</v>
      </c>
      <c r="C51" s="343">
        <f>C45+C49</f>
        <v>1555377.3587765754</v>
      </c>
      <c r="D51" s="343">
        <f aca="true" t="shared" si="8" ref="D51:N51">D45+D49</f>
        <v>1437309.308694155</v>
      </c>
      <c r="E51" s="343">
        <f t="shared" si="8"/>
        <v>1451501.298361667</v>
      </c>
      <c r="F51" s="343">
        <f t="shared" si="8"/>
        <v>1218209.15902131</v>
      </c>
      <c r="G51" s="343">
        <f t="shared" si="8"/>
        <v>1165198.8912919883</v>
      </c>
      <c r="H51" s="343">
        <f t="shared" si="8"/>
        <v>1054562.149496447</v>
      </c>
      <c r="I51" s="343">
        <f t="shared" si="8"/>
        <v>1065367.1278078652</v>
      </c>
      <c r="J51" s="343">
        <f t="shared" si="8"/>
        <v>1054484.4102606717</v>
      </c>
      <c r="K51" s="343">
        <f t="shared" si="8"/>
        <v>993532.6397373672</v>
      </c>
      <c r="L51" s="343">
        <f t="shared" si="8"/>
        <v>1006627.6454100127</v>
      </c>
      <c r="M51" s="343">
        <f t="shared" si="8"/>
        <v>1086005.1063045654</v>
      </c>
      <c r="N51" s="343">
        <f t="shared" si="8"/>
        <v>1243695.1690446427</v>
      </c>
      <c r="O51" s="343">
        <f>SUM(C51:N51)</f>
        <v>14331870.26420727</v>
      </c>
      <c r="P51" s="337"/>
    </row>
    <row r="52" spans="1:2" ht="12.75">
      <c r="A52" s="317"/>
      <c r="B52" s="317"/>
    </row>
    <row r="53" spans="1:16" ht="15.75">
      <c r="A53" s="345" t="s">
        <v>187</v>
      </c>
      <c r="B53" s="328"/>
      <c r="C53" s="328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</row>
    <row r="54" spans="1:16" ht="12.75">
      <c r="A54" s="328"/>
      <c r="B54" s="328"/>
      <c r="C54" s="328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</row>
    <row r="55" spans="1:16" ht="12.75">
      <c r="A55" s="328" t="s">
        <v>41</v>
      </c>
      <c r="B55" s="328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</row>
    <row r="56" spans="1:15" ht="12.75">
      <c r="A56" s="335" t="s">
        <v>103</v>
      </c>
      <c r="B56" s="346">
        <v>0.165</v>
      </c>
      <c r="C56" s="347">
        <f>C6*$B56/100</f>
        <v>801468.8578949294</v>
      </c>
      <c r="D56" s="347">
        <f aca="true" t="shared" si="9" ref="D56:N56">D6*$B56/100</f>
        <v>696545.8666945877</v>
      </c>
      <c r="E56" s="347">
        <f t="shared" si="9"/>
        <v>698274.953910723</v>
      </c>
      <c r="F56" s="347">
        <f t="shared" si="9"/>
        <v>557782.8998031446</v>
      </c>
      <c r="G56" s="347">
        <f t="shared" si="9"/>
        <v>505827.604578982</v>
      </c>
      <c r="H56" s="347">
        <f t="shared" si="9"/>
        <v>419139.0149708355</v>
      </c>
      <c r="I56" s="347">
        <f t="shared" si="9"/>
        <v>423667.041264626</v>
      </c>
      <c r="J56" s="347">
        <f t="shared" si="9"/>
        <v>415656.73973287555</v>
      </c>
      <c r="K56" s="347">
        <f t="shared" si="9"/>
        <v>414800.54824530275</v>
      </c>
      <c r="L56" s="347">
        <f t="shared" si="9"/>
        <v>474013.9971109125</v>
      </c>
      <c r="M56" s="347">
        <f t="shared" si="9"/>
        <v>547614.5549903195</v>
      </c>
      <c r="N56" s="347">
        <f t="shared" si="9"/>
        <v>715910.0000168257</v>
      </c>
      <c r="O56" s="347">
        <f aca="true" t="shared" si="10" ref="O56:O67">SUM(B56:N56)</f>
        <v>6670702.2442140635</v>
      </c>
    </row>
    <row r="57" spans="1:15" ht="12.75">
      <c r="A57" s="335" t="s">
        <v>104</v>
      </c>
      <c r="B57" s="346">
        <v>0.165</v>
      </c>
      <c r="C57" s="347">
        <f aca="true" t="shared" si="11" ref="C57:N57">C7*$B57/100</f>
        <v>49788.01624638923</v>
      </c>
      <c r="D57" s="347">
        <f t="shared" si="11"/>
        <v>42013.17796097299</v>
      </c>
      <c r="E57" s="347">
        <f t="shared" si="11"/>
        <v>41222.01577567766</v>
      </c>
      <c r="F57" s="347">
        <f t="shared" si="11"/>
        <v>33455.557283794915</v>
      </c>
      <c r="G57" s="347">
        <f t="shared" si="11"/>
        <v>25225.9743265701</v>
      </c>
      <c r="H57" s="347">
        <f t="shared" si="11"/>
        <v>15968.353039088433</v>
      </c>
      <c r="I57" s="347">
        <f t="shared" si="11"/>
        <v>13806.695689655477</v>
      </c>
      <c r="J57" s="347">
        <f t="shared" si="11"/>
        <v>12831.1359718342</v>
      </c>
      <c r="K57" s="347">
        <f t="shared" si="11"/>
        <v>14308.215413225847</v>
      </c>
      <c r="L57" s="347">
        <f t="shared" si="11"/>
        <v>20141.479973206646</v>
      </c>
      <c r="M57" s="347">
        <f t="shared" si="11"/>
        <v>30665.372009036495</v>
      </c>
      <c r="N57" s="347">
        <f t="shared" si="11"/>
        <v>52984.32400293187</v>
      </c>
      <c r="O57" s="347">
        <f t="shared" si="10"/>
        <v>352410.48269238387</v>
      </c>
    </row>
    <row r="58" spans="1:15" ht="12.75">
      <c r="A58" s="335" t="s">
        <v>105</v>
      </c>
      <c r="B58" s="346">
        <v>0.165</v>
      </c>
      <c r="C58" s="347">
        <f>SUM(C56:C57)</f>
        <v>851256.8741413186</v>
      </c>
      <c r="D58" s="347">
        <f aca="true" t="shared" si="12" ref="D58:N58">SUM(D56:D57)</f>
        <v>738559.0446555607</v>
      </c>
      <c r="E58" s="347">
        <f t="shared" si="12"/>
        <v>739496.9696864006</v>
      </c>
      <c r="F58" s="347">
        <f t="shared" si="12"/>
        <v>591238.4570869396</v>
      </c>
      <c r="G58" s="347">
        <f t="shared" si="12"/>
        <v>531053.578905552</v>
      </c>
      <c r="H58" s="347">
        <f t="shared" si="12"/>
        <v>435107.3680099239</v>
      </c>
      <c r="I58" s="347">
        <f t="shared" si="12"/>
        <v>437473.7369542815</v>
      </c>
      <c r="J58" s="347">
        <f t="shared" si="12"/>
        <v>428487.87570470973</v>
      </c>
      <c r="K58" s="347">
        <f t="shared" si="12"/>
        <v>429108.7636585286</v>
      </c>
      <c r="L58" s="347">
        <f t="shared" si="12"/>
        <v>494155.47708411916</v>
      </c>
      <c r="M58" s="347">
        <f t="shared" si="12"/>
        <v>578279.926999356</v>
      </c>
      <c r="N58" s="347">
        <f t="shared" si="12"/>
        <v>768894.3240197576</v>
      </c>
      <c r="O58" s="347">
        <f t="shared" si="10"/>
        <v>7023112.561906448</v>
      </c>
    </row>
    <row r="59" spans="1:15" ht="12.75">
      <c r="A59" s="341" t="s">
        <v>49</v>
      </c>
      <c r="B59" s="348">
        <v>0.167</v>
      </c>
      <c r="C59" s="347">
        <f aca="true" t="shared" si="13" ref="C59:N59">C9*$B59/100</f>
        <v>40952.99118770049</v>
      </c>
      <c r="D59" s="347">
        <f t="shared" si="13"/>
        <v>37610.82699618317</v>
      </c>
      <c r="E59" s="347">
        <f t="shared" si="13"/>
        <v>36019.92748859575</v>
      </c>
      <c r="F59" s="347">
        <f t="shared" si="13"/>
        <v>30549.297063798498</v>
      </c>
      <c r="G59" s="347">
        <f t="shared" si="13"/>
        <v>27993.052849415057</v>
      </c>
      <c r="H59" s="347">
        <f t="shared" si="13"/>
        <v>26657.21298735181</v>
      </c>
      <c r="I59" s="347">
        <f t="shared" si="13"/>
        <v>27472.173804714854</v>
      </c>
      <c r="J59" s="347">
        <f t="shared" si="13"/>
        <v>27655.892004934693</v>
      </c>
      <c r="K59" s="347">
        <f t="shared" si="13"/>
        <v>25039.161535822233</v>
      </c>
      <c r="L59" s="347">
        <f t="shared" si="13"/>
        <v>27926.52849482485</v>
      </c>
      <c r="M59" s="347">
        <f t="shared" si="13"/>
        <v>29233.395083959957</v>
      </c>
      <c r="N59" s="347">
        <f t="shared" si="13"/>
        <v>36512.06473186427</v>
      </c>
      <c r="O59" s="347">
        <f t="shared" si="10"/>
        <v>373622.6912291656</v>
      </c>
    </row>
    <row r="60" spans="1:15" ht="12.75">
      <c r="A60" s="341" t="s">
        <v>50</v>
      </c>
      <c r="B60" s="348">
        <v>0.133</v>
      </c>
      <c r="C60" s="347">
        <f aca="true" t="shared" si="14" ref="C60:N60">C10*$B60/100</f>
        <v>311394.9551839463</v>
      </c>
      <c r="D60" s="347">
        <f t="shared" si="14"/>
        <v>292056.5411867086</v>
      </c>
      <c r="E60" s="347">
        <f t="shared" si="14"/>
        <v>300361.74054956756</v>
      </c>
      <c r="F60" s="347">
        <f t="shared" si="14"/>
        <v>259885.99382589903</v>
      </c>
      <c r="G60" s="347">
        <f t="shared" si="14"/>
        <v>244986.48198661144</v>
      </c>
      <c r="H60" s="347">
        <f t="shared" si="14"/>
        <v>247730.64121108572</v>
      </c>
      <c r="I60" s="347">
        <f t="shared" si="14"/>
        <v>267931.42473879433</v>
      </c>
      <c r="J60" s="347">
        <f t="shared" si="14"/>
        <v>260523.67222543314</v>
      </c>
      <c r="K60" s="347">
        <f t="shared" si="14"/>
        <v>241669.96591252682</v>
      </c>
      <c r="L60" s="347">
        <f t="shared" si="14"/>
        <v>252756.4950239465</v>
      </c>
      <c r="M60" s="347">
        <f t="shared" si="14"/>
        <v>264071.59584018856</v>
      </c>
      <c r="N60" s="347">
        <f t="shared" si="14"/>
        <v>301111.28256416635</v>
      </c>
      <c r="O60" s="347">
        <f t="shared" si="10"/>
        <v>3244480.9232488745</v>
      </c>
    </row>
    <row r="61" spans="1:15" ht="12.75">
      <c r="A61" s="341" t="s">
        <v>51</v>
      </c>
      <c r="B61" s="348">
        <v>0.093</v>
      </c>
      <c r="C61" s="347">
        <f aca="true" t="shared" si="15" ref="C61:N61">C11*$B61/100</f>
        <v>31044.874114341237</v>
      </c>
      <c r="D61" s="347">
        <f t="shared" si="15"/>
        <v>28771.646641459996</v>
      </c>
      <c r="E61" s="347">
        <f t="shared" si="15"/>
        <v>31398.54112179152</v>
      </c>
      <c r="F61" s="347">
        <f t="shared" si="15"/>
        <v>28659.050726532136</v>
      </c>
      <c r="G61" s="347">
        <f t="shared" si="15"/>
        <v>29656.781512382437</v>
      </c>
      <c r="H61" s="347">
        <f t="shared" si="15"/>
        <v>30012.630923230983</v>
      </c>
      <c r="I61" s="347">
        <f t="shared" si="15"/>
        <v>34527.2689575132</v>
      </c>
      <c r="J61" s="347">
        <f t="shared" si="15"/>
        <v>34065.098373246256</v>
      </c>
      <c r="K61" s="347">
        <f t="shared" si="15"/>
        <v>31665.816978587663</v>
      </c>
      <c r="L61" s="347">
        <f t="shared" si="15"/>
        <v>30154.953348654068</v>
      </c>
      <c r="M61" s="347">
        <f t="shared" si="15"/>
        <v>29803.15027471011</v>
      </c>
      <c r="N61" s="347">
        <f t="shared" si="15"/>
        <v>29888.025154823285</v>
      </c>
      <c r="O61" s="347">
        <f t="shared" si="10"/>
        <v>369647.9311272729</v>
      </c>
    </row>
    <row r="62" spans="1:15" ht="12.75">
      <c r="A62" s="341" t="s">
        <v>52</v>
      </c>
      <c r="B62" s="348">
        <v>0.124</v>
      </c>
      <c r="C62" s="347">
        <f aca="true" t="shared" si="16" ref="C62:N62">C12*$B62/100</f>
        <v>27917.0613153424</v>
      </c>
      <c r="D62" s="347">
        <f t="shared" si="16"/>
        <v>26763.805246352378</v>
      </c>
      <c r="E62" s="347">
        <f t="shared" si="16"/>
        <v>26843.28581008337</v>
      </c>
      <c r="F62" s="347">
        <f t="shared" si="16"/>
        <v>25609.637003183136</v>
      </c>
      <c r="G62" s="347">
        <f t="shared" si="16"/>
        <v>25811.518691012636</v>
      </c>
      <c r="H62" s="347">
        <f t="shared" si="16"/>
        <v>26945.527695844034</v>
      </c>
      <c r="I62" s="347">
        <f t="shared" si="16"/>
        <v>27390.61642484146</v>
      </c>
      <c r="J62" s="347">
        <f t="shared" si="16"/>
        <v>27339.129862463735</v>
      </c>
      <c r="K62" s="347">
        <f t="shared" si="16"/>
        <v>25555.134547287515</v>
      </c>
      <c r="L62" s="347">
        <f t="shared" si="16"/>
        <v>23536.389880264134</v>
      </c>
      <c r="M62" s="347">
        <f t="shared" si="16"/>
        <v>25814.94644998431</v>
      </c>
      <c r="N62" s="347">
        <f t="shared" si="16"/>
        <v>29937.160869853575</v>
      </c>
      <c r="O62" s="347">
        <f t="shared" si="10"/>
        <v>319464.3377965127</v>
      </c>
    </row>
    <row r="63" spans="1:15" ht="12.75">
      <c r="A63" s="341" t="s">
        <v>53</v>
      </c>
      <c r="B63" s="348">
        <v>0.111</v>
      </c>
      <c r="C63" s="347">
        <f aca="true" t="shared" si="17" ref="C63:N63">C13*$B63/100</f>
        <v>48322.18594638046</v>
      </c>
      <c r="D63" s="347">
        <f t="shared" si="17"/>
        <v>43601.38501335056</v>
      </c>
      <c r="E63" s="347">
        <f t="shared" si="17"/>
        <v>46530.13713971127</v>
      </c>
      <c r="F63" s="347">
        <f t="shared" si="17"/>
        <v>46368.90268505989</v>
      </c>
      <c r="G63" s="347">
        <f t="shared" si="17"/>
        <v>45817.583131907144</v>
      </c>
      <c r="H63" s="347">
        <f t="shared" si="17"/>
        <v>47966.02674956602</v>
      </c>
      <c r="I63" s="347">
        <f t="shared" si="17"/>
        <v>47921.95011286896</v>
      </c>
      <c r="J63" s="347">
        <f t="shared" si="17"/>
        <v>47973.730412815305</v>
      </c>
      <c r="K63" s="347">
        <f t="shared" si="17"/>
        <v>46726.636908846674</v>
      </c>
      <c r="L63" s="347">
        <f t="shared" si="17"/>
        <v>47115.152023878116</v>
      </c>
      <c r="M63" s="347">
        <f t="shared" si="17"/>
        <v>46141.316647535925</v>
      </c>
      <c r="N63" s="347">
        <f t="shared" si="17"/>
        <v>47003.18589527156</v>
      </c>
      <c r="O63" s="347">
        <f t="shared" si="10"/>
        <v>561488.3036671919</v>
      </c>
    </row>
    <row r="64" spans="1:15" ht="12.75">
      <c r="A64" s="341" t="s">
        <v>54</v>
      </c>
      <c r="B64" s="348">
        <v>0.081</v>
      </c>
      <c r="C64" s="347">
        <f aca="true" t="shared" si="18" ref="C64:N64">C14*$B64/100</f>
        <v>62163.55140561691</v>
      </c>
      <c r="D64" s="347">
        <f t="shared" si="18"/>
        <v>58000.46777699165</v>
      </c>
      <c r="E64" s="347">
        <f t="shared" si="18"/>
        <v>62496.53337768711</v>
      </c>
      <c r="F64" s="347">
        <f t="shared" si="18"/>
        <v>61130.23920017327</v>
      </c>
      <c r="G64" s="347">
        <f t="shared" si="18"/>
        <v>61649.232657502194</v>
      </c>
      <c r="H64" s="347">
        <f t="shared" si="18"/>
        <v>61565.24862067876</v>
      </c>
      <c r="I64" s="347">
        <f t="shared" si="18"/>
        <v>63656.42478159628</v>
      </c>
      <c r="J64" s="347">
        <f t="shared" si="18"/>
        <v>70547.26845719211</v>
      </c>
      <c r="K64" s="347">
        <f t="shared" si="18"/>
        <v>65961.39632767279</v>
      </c>
      <c r="L64" s="347">
        <f t="shared" si="18"/>
        <v>66398.08710443755</v>
      </c>
      <c r="M64" s="347">
        <f t="shared" si="18"/>
        <v>64117.28059233317</v>
      </c>
      <c r="N64" s="347">
        <f t="shared" si="18"/>
        <v>60714.187242746266</v>
      </c>
      <c r="O64" s="347">
        <f t="shared" si="10"/>
        <v>758399.998544628</v>
      </c>
    </row>
    <row r="65" spans="1:15" ht="12.75">
      <c r="A65" s="341" t="s">
        <v>58</v>
      </c>
      <c r="B65" s="348">
        <v>0.081</v>
      </c>
      <c r="C65" s="347">
        <f aca="true" t="shared" si="19" ref="C65:N65">C15*$B65/100</f>
        <v>30281.45472</v>
      </c>
      <c r="D65" s="347">
        <f t="shared" si="19"/>
        <v>28327.81248</v>
      </c>
      <c r="E65" s="347">
        <f t="shared" si="19"/>
        <v>30281.45472</v>
      </c>
      <c r="F65" s="347">
        <f t="shared" si="19"/>
        <v>29304.63360000001</v>
      </c>
      <c r="G65" s="347">
        <f t="shared" si="19"/>
        <v>30281.45472</v>
      </c>
      <c r="H65" s="347">
        <f t="shared" si="19"/>
        <v>29304.63360000001</v>
      </c>
      <c r="I65" s="347">
        <f t="shared" si="19"/>
        <v>30281.45472</v>
      </c>
      <c r="J65" s="347">
        <f t="shared" si="19"/>
        <v>30281.45472</v>
      </c>
      <c r="K65" s="347">
        <f t="shared" si="19"/>
        <v>29304.63360000001</v>
      </c>
      <c r="L65" s="347">
        <f t="shared" si="19"/>
        <v>30281.45472</v>
      </c>
      <c r="M65" s="347">
        <f t="shared" si="19"/>
        <v>29304.63360000001</v>
      </c>
      <c r="N65" s="347">
        <f t="shared" si="19"/>
        <v>30281.45472</v>
      </c>
      <c r="O65" s="347">
        <f t="shared" si="10"/>
        <v>357516.61092</v>
      </c>
    </row>
    <row r="66" spans="1:15" ht="12.75">
      <c r="A66" s="341" t="s">
        <v>55</v>
      </c>
      <c r="B66" s="348">
        <v>0.113</v>
      </c>
      <c r="C66" s="347">
        <f aca="true" t="shared" si="20" ref="C66:N66">C16*$B66/100</f>
        <v>22863.43231981301</v>
      </c>
      <c r="D66" s="347">
        <f t="shared" si="20"/>
        <v>21730.605844801987</v>
      </c>
      <c r="E66" s="347">
        <f t="shared" si="20"/>
        <v>21721.729976710325</v>
      </c>
      <c r="F66" s="347">
        <f t="shared" si="20"/>
        <v>17728.192815635797</v>
      </c>
      <c r="G66" s="347">
        <f t="shared" si="20"/>
        <v>15896.951398766207</v>
      </c>
      <c r="H66" s="347">
        <f t="shared" si="20"/>
        <v>14645.384997386811</v>
      </c>
      <c r="I66" s="347">
        <f t="shared" si="20"/>
        <v>16140.598906486228</v>
      </c>
      <c r="J66" s="347">
        <f t="shared" si="20"/>
        <v>15914.895021929986</v>
      </c>
      <c r="K66" s="347">
        <f t="shared" si="20"/>
        <v>15550.304939973983</v>
      </c>
      <c r="L66" s="347">
        <f t="shared" si="20"/>
        <v>16746.063773104404</v>
      </c>
      <c r="M66" s="347">
        <f t="shared" si="20"/>
        <v>18717.787816955497</v>
      </c>
      <c r="N66" s="347">
        <f t="shared" si="20"/>
        <v>22176.373210029316</v>
      </c>
      <c r="O66" s="347">
        <f t="shared" si="10"/>
        <v>219832.43402159357</v>
      </c>
    </row>
    <row r="67" spans="1:15" ht="12.75">
      <c r="A67" s="341" t="s">
        <v>56</v>
      </c>
      <c r="B67" s="348">
        <v>0.104</v>
      </c>
      <c r="C67" s="349">
        <f aca="true" t="shared" si="21" ref="C67:N67">C17*$B67/100</f>
        <v>9807.89510109766</v>
      </c>
      <c r="D67" s="349">
        <f t="shared" si="21"/>
        <v>9340.267588138382</v>
      </c>
      <c r="E67" s="349">
        <f t="shared" si="21"/>
        <v>9791.739646435668</v>
      </c>
      <c r="F67" s="349">
        <f t="shared" si="21"/>
        <v>9446.711902799747</v>
      </c>
      <c r="G67" s="349">
        <f t="shared" si="21"/>
        <v>10009.617431991632</v>
      </c>
      <c r="H67" s="349">
        <f t="shared" si="21"/>
        <v>9527.38072453869</v>
      </c>
      <c r="I67" s="349">
        <f t="shared" si="21"/>
        <v>9364.702427993758</v>
      </c>
      <c r="J67" s="349">
        <f t="shared" si="21"/>
        <v>9709.407070652396</v>
      </c>
      <c r="K67" s="349">
        <f t="shared" si="21"/>
        <v>9807.526272241981</v>
      </c>
      <c r="L67" s="349">
        <f t="shared" si="21"/>
        <v>9573.496851449885</v>
      </c>
      <c r="M67" s="349">
        <f t="shared" si="21"/>
        <v>10164.709927052405</v>
      </c>
      <c r="N67" s="349">
        <f t="shared" si="21"/>
        <v>10228.415957214875</v>
      </c>
      <c r="O67" s="349">
        <f t="shared" si="10"/>
        <v>116771.97490160709</v>
      </c>
    </row>
    <row r="68" spans="1:15" ht="12.75">
      <c r="A68" s="342" t="s">
        <v>60</v>
      </c>
      <c r="B68" s="348"/>
      <c r="C68" s="343">
        <f>SUM(C58:C67)</f>
        <v>1436005.275435557</v>
      </c>
      <c r="D68" s="343">
        <f aca="true" t="shared" si="22" ref="D68:O68">SUM(D58:D67)</f>
        <v>1284762.4034295476</v>
      </c>
      <c r="E68" s="343">
        <f t="shared" si="22"/>
        <v>1304942.0595169836</v>
      </c>
      <c r="F68" s="343">
        <f t="shared" si="22"/>
        <v>1099921.1159100214</v>
      </c>
      <c r="G68" s="343">
        <f t="shared" si="22"/>
        <v>1023156.2532851408</v>
      </c>
      <c r="H68" s="343">
        <f t="shared" si="22"/>
        <v>929462.0555196068</v>
      </c>
      <c r="I68" s="343">
        <f t="shared" si="22"/>
        <v>962160.3518290905</v>
      </c>
      <c r="J68" s="343">
        <f t="shared" si="22"/>
        <v>952498.4238533773</v>
      </c>
      <c r="K68" s="343">
        <f t="shared" si="22"/>
        <v>920389.3406814883</v>
      </c>
      <c r="L68" s="343">
        <f t="shared" si="22"/>
        <v>998644.0983046787</v>
      </c>
      <c r="M68" s="343">
        <f t="shared" si="22"/>
        <v>1095648.743232076</v>
      </c>
      <c r="N68" s="343">
        <f t="shared" si="22"/>
        <v>1336746.474365727</v>
      </c>
      <c r="O68" s="343">
        <f t="shared" si="22"/>
        <v>13344337.767363295</v>
      </c>
    </row>
    <row r="69" spans="1:15" ht="12.75">
      <c r="A69" s="341"/>
      <c r="B69" s="348"/>
      <c r="C69" s="347"/>
      <c r="D69" s="347"/>
      <c r="E69" s="347"/>
      <c r="F69" s="347"/>
      <c r="G69" s="347"/>
      <c r="H69" s="347"/>
      <c r="I69" s="347"/>
      <c r="J69" s="347"/>
      <c r="K69" s="347"/>
      <c r="L69" s="347"/>
      <c r="M69" s="347"/>
      <c r="N69" s="347"/>
      <c r="O69" s="347"/>
    </row>
    <row r="70" spans="1:15" ht="12.75">
      <c r="A70" s="328" t="s">
        <v>100</v>
      </c>
      <c r="B70" s="348"/>
      <c r="C70" s="347"/>
      <c r="D70" s="347"/>
      <c r="E70" s="347"/>
      <c r="F70" s="347"/>
      <c r="G70" s="347"/>
      <c r="H70" s="347"/>
      <c r="I70" s="347"/>
      <c r="J70" s="347"/>
      <c r="K70" s="347"/>
      <c r="L70" s="347"/>
      <c r="M70" s="347"/>
      <c r="N70" s="347"/>
      <c r="O70" s="347"/>
    </row>
    <row r="71" spans="1:15" ht="12.75">
      <c r="A71" s="341" t="s">
        <v>83</v>
      </c>
      <c r="B71" s="348">
        <v>0.091</v>
      </c>
      <c r="C71" s="347">
        <f>C21*$B71/100</f>
        <v>14103.18</v>
      </c>
      <c r="D71" s="347">
        <f aca="true" t="shared" si="23" ref="D71:N71">D21*$B71/100</f>
        <v>12268.62</v>
      </c>
      <c r="E71" s="347">
        <f t="shared" si="23"/>
        <v>14103.18</v>
      </c>
      <c r="F71" s="347">
        <f t="shared" si="23"/>
        <v>13185.9</v>
      </c>
      <c r="G71" s="347">
        <f t="shared" si="23"/>
        <v>14103.18</v>
      </c>
      <c r="H71" s="347">
        <f t="shared" si="23"/>
        <v>13185.9</v>
      </c>
      <c r="I71" s="347">
        <f t="shared" si="23"/>
        <v>14103.18</v>
      </c>
      <c r="J71" s="347">
        <f t="shared" si="23"/>
        <v>14103.18</v>
      </c>
      <c r="K71" s="347">
        <f t="shared" si="23"/>
        <v>13185.9</v>
      </c>
      <c r="L71" s="347">
        <f t="shared" si="23"/>
        <v>14103.18</v>
      </c>
      <c r="M71" s="347">
        <f t="shared" si="23"/>
        <v>13185.9</v>
      </c>
      <c r="N71" s="347">
        <f t="shared" si="23"/>
        <v>14103.18</v>
      </c>
      <c r="O71" s="347">
        <f>SUM(B71:N71)</f>
        <v>163734.57099999997</v>
      </c>
    </row>
    <row r="72" spans="1:15" ht="12.75">
      <c r="A72" s="341" t="s">
        <v>116</v>
      </c>
      <c r="B72" s="348">
        <v>0.091</v>
      </c>
      <c r="C72" s="349">
        <f>C24*$B72/100</f>
        <v>0</v>
      </c>
      <c r="D72" s="349">
        <f aca="true" t="shared" si="24" ref="D72:N72">D24*$B72/100</f>
        <v>0</v>
      </c>
      <c r="E72" s="349">
        <f t="shared" si="24"/>
        <v>0</v>
      </c>
      <c r="F72" s="349">
        <f t="shared" si="24"/>
        <v>0</v>
      </c>
      <c r="G72" s="349">
        <f t="shared" si="24"/>
        <v>0</v>
      </c>
      <c r="H72" s="349">
        <f t="shared" si="24"/>
        <v>0</v>
      </c>
      <c r="I72" s="349">
        <f t="shared" si="24"/>
        <v>0</v>
      </c>
      <c r="J72" s="349">
        <f t="shared" si="24"/>
        <v>0</v>
      </c>
      <c r="K72" s="349">
        <f t="shared" si="24"/>
        <v>0</v>
      </c>
      <c r="L72" s="349">
        <f t="shared" si="24"/>
        <v>0</v>
      </c>
      <c r="M72" s="349">
        <f t="shared" si="24"/>
        <v>0</v>
      </c>
      <c r="N72" s="349">
        <f t="shared" si="24"/>
        <v>0</v>
      </c>
      <c r="O72" s="349">
        <f>SUM(B72:N72)</f>
        <v>0.091</v>
      </c>
    </row>
    <row r="73" spans="1:15" ht="12.75">
      <c r="A73" s="341" t="s">
        <v>118</v>
      </c>
      <c r="B73" s="341"/>
      <c r="C73" s="343">
        <f aca="true" t="shared" si="25" ref="C73:O73">SUM(C71:C72)</f>
        <v>14103.18</v>
      </c>
      <c r="D73" s="343">
        <f t="shared" si="25"/>
        <v>12268.62</v>
      </c>
      <c r="E73" s="343">
        <f t="shared" si="25"/>
        <v>14103.18</v>
      </c>
      <c r="F73" s="343">
        <f t="shared" si="25"/>
        <v>13185.9</v>
      </c>
      <c r="G73" s="343">
        <f t="shared" si="25"/>
        <v>14103.18</v>
      </c>
      <c r="H73" s="343">
        <f t="shared" si="25"/>
        <v>13185.9</v>
      </c>
      <c r="I73" s="343">
        <f t="shared" si="25"/>
        <v>14103.18</v>
      </c>
      <c r="J73" s="343">
        <f t="shared" si="25"/>
        <v>14103.18</v>
      </c>
      <c r="K73" s="343">
        <f t="shared" si="25"/>
        <v>13185.9</v>
      </c>
      <c r="L73" s="343">
        <f t="shared" si="25"/>
        <v>14103.18</v>
      </c>
      <c r="M73" s="343">
        <f t="shared" si="25"/>
        <v>13185.9</v>
      </c>
      <c r="N73" s="343">
        <f t="shared" si="25"/>
        <v>14103.18</v>
      </c>
      <c r="O73" s="343">
        <f t="shared" si="25"/>
        <v>163734.66199999995</v>
      </c>
    </row>
    <row r="74" spans="1:15" ht="12.75">
      <c r="A74" s="341"/>
      <c r="B74" s="341"/>
      <c r="C74" s="347"/>
      <c r="D74" s="347"/>
      <c r="E74" s="347"/>
      <c r="F74" s="347"/>
      <c r="G74" s="347"/>
      <c r="H74" s="347"/>
      <c r="I74" s="347"/>
      <c r="J74" s="347"/>
      <c r="K74" s="347"/>
      <c r="L74" s="347"/>
      <c r="M74" s="347"/>
      <c r="N74" s="347"/>
      <c r="O74" s="347">
        <f>SUM(C74:N74)</f>
        <v>0</v>
      </c>
    </row>
    <row r="75" spans="1:15" ht="12.75">
      <c r="A75" s="341" t="s">
        <v>47</v>
      </c>
      <c r="B75" s="341"/>
      <c r="C75" s="343">
        <f aca="true" t="shared" si="26" ref="C75:O75">C73+C68</f>
        <v>1450108.4554355568</v>
      </c>
      <c r="D75" s="343">
        <f t="shared" si="26"/>
        <v>1297031.0234295477</v>
      </c>
      <c r="E75" s="343">
        <f t="shared" si="26"/>
        <v>1319045.2395169835</v>
      </c>
      <c r="F75" s="343">
        <f t="shared" si="26"/>
        <v>1113107.0159100213</v>
      </c>
      <c r="G75" s="343">
        <f t="shared" si="26"/>
        <v>1037259.4332851409</v>
      </c>
      <c r="H75" s="343">
        <f t="shared" si="26"/>
        <v>942647.9555196068</v>
      </c>
      <c r="I75" s="343">
        <f t="shared" si="26"/>
        <v>976263.5318290906</v>
      </c>
      <c r="J75" s="343">
        <f t="shared" si="26"/>
        <v>966601.6038533774</v>
      </c>
      <c r="K75" s="343">
        <f t="shared" si="26"/>
        <v>933575.2406814883</v>
      </c>
      <c r="L75" s="343">
        <f t="shared" si="26"/>
        <v>1012747.2783046787</v>
      </c>
      <c r="M75" s="343">
        <f t="shared" si="26"/>
        <v>1108834.643232076</v>
      </c>
      <c r="N75" s="343">
        <f t="shared" si="26"/>
        <v>1350849.654365727</v>
      </c>
      <c r="O75" s="343">
        <f t="shared" si="26"/>
        <v>13508072.429363295</v>
      </c>
    </row>
    <row r="76" spans="1:16" ht="12.75">
      <c r="A76" s="341"/>
      <c r="B76" s="341"/>
      <c r="C76" s="341"/>
      <c r="D76" s="350"/>
      <c r="E76" s="350"/>
      <c r="F76" s="350"/>
      <c r="G76" s="350"/>
      <c r="H76" s="350"/>
      <c r="I76" s="350"/>
      <c r="J76" s="350"/>
      <c r="K76" s="350"/>
      <c r="L76" s="350"/>
      <c r="M76" s="350"/>
      <c r="N76" s="350"/>
      <c r="O76" s="350"/>
      <c r="P76" s="350"/>
    </row>
    <row r="77" spans="1:16" ht="12.75">
      <c r="A77" s="328" t="s">
        <v>117</v>
      </c>
      <c r="B77" s="328"/>
      <c r="C77" s="341"/>
      <c r="D77" s="350"/>
      <c r="E77" s="350"/>
      <c r="F77" s="350"/>
      <c r="G77" s="350"/>
      <c r="H77" s="350"/>
      <c r="I77" s="350"/>
      <c r="J77" s="350"/>
      <c r="K77" s="350"/>
      <c r="L77" s="350"/>
      <c r="M77" s="350"/>
      <c r="N77" s="350"/>
      <c r="O77" s="350"/>
      <c r="P77" s="350"/>
    </row>
    <row r="78" spans="1:16" ht="12.75">
      <c r="A78" s="341"/>
      <c r="B78" s="341"/>
      <c r="C78" s="341"/>
      <c r="D78" s="350"/>
      <c r="E78" s="350"/>
      <c r="F78" s="350"/>
      <c r="G78" s="350"/>
      <c r="H78" s="350"/>
      <c r="I78" s="350"/>
      <c r="J78" s="350"/>
      <c r="K78" s="350"/>
      <c r="L78" s="350"/>
      <c r="M78" s="350"/>
      <c r="N78" s="350"/>
      <c r="O78" s="350"/>
      <c r="P78" s="350"/>
    </row>
    <row r="79" spans="1:16" ht="12.75">
      <c r="A79" s="328" t="s">
        <v>41</v>
      </c>
      <c r="B79" s="328"/>
      <c r="C79" s="341"/>
      <c r="D79" s="350"/>
      <c r="E79" s="350"/>
      <c r="F79" s="350"/>
      <c r="G79" s="350"/>
      <c r="H79" s="350"/>
      <c r="I79" s="350"/>
      <c r="J79" s="350"/>
      <c r="K79" s="350"/>
      <c r="L79" s="350"/>
      <c r="M79" s="350"/>
      <c r="N79" s="350"/>
      <c r="O79" s="350"/>
      <c r="P79" s="350"/>
    </row>
    <row r="80" spans="1:15" ht="12.75">
      <c r="A80" s="335" t="s">
        <v>105</v>
      </c>
      <c r="B80" s="335"/>
      <c r="C80" s="351">
        <f>+C35-C58</f>
        <v>356.49370228289627</v>
      </c>
      <c r="D80" s="351">
        <f aca="true" t="shared" si="27" ref="D80:N80">+D35-D58</f>
        <v>38292.99462583137</v>
      </c>
      <c r="E80" s="351">
        <f t="shared" si="27"/>
        <v>16410.59725044272</v>
      </c>
      <c r="F80" s="351">
        <f t="shared" si="27"/>
        <v>5870.215315000853</v>
      </c>
      <c r="G80" s="351">
        <f t="shared" si="27"/>
        <v>15936.471963665914</v>
      </c>
      <c r="H80" s="351">
        <f t="shared" si="27"/>
        <v>12894.085900045233</v>
      </c>
      <c r="I80" s="351">
        <f t="shared" si="27"/>
        <v>-3374.7796539910487</v>
      </c>
      <c r="J80" s="351">
        <f t="shared" si="27"/>
        <v>6303.55700346583</v>
      </c>
      <c r="K80" s="351">
        <f t="shared" si="27"/>
        <v>9054.193108787702</v>
      </c>
      <c r="L80" s="351">
        <f t="shared" si="27"/>
        <v>-4105.465927357785</v>
      </c>
      <c r="M80" s="351">
        <f t="shared" si="27"/>
        <v>-2569.932081606821</v>
      </c>
      <c r="N80" s="351">
        <f t="shared" si="27"/>
        <v>-65035.33863350458</v>
      </c>
      <c r="O80" s="351">
        <f>SUM(C80:N80)</f>
        <v>30033.092573062284</v>
      </c>
    </row>
    <row r="81" spans="1:15" ht="12.75">
      <c r="A81" s="341" t="s">
        <v>49</v>
      </c>
      <c r="B81" s="341"/>
      <c r="C81" s="351">
        <f aca="true" t="shared" si="28" ref="C81:N81">+C36-C59</f>
        <v>887.5880928113329</v>
      </c>
      <c r="D81" s="351">
        <f t="shared" si="28"/>
        <v>2381.178910957933</v>
      </c>
      <c r="E81" s="351">
        <f t="shared" si="28"/>
        <v>5359.87979594159</v>
      </c>
      <c r="F81" s="351">
        <f t="shared" si="28"/>
        <v>2305.662496041259</v>
      </c>
      <c r="G81" s="351">
        <f t="shared" si="28"/>
        <v>4915.071896857931</v>
      </c>
      <c r="H81" s="351">
        <f t="shared" si="28"/>
        <v>1688.9498368659333</v>
      </c>
      <c r="I81" s="351">
        <f t="shared" si="28"/>
        <v>1703.1375979779878</v>
      </c>
      <c r="J81" s="351">
        <f t="shared" si="28"/>
        <v>1328.3643663573785</v>
      </c>
      <c r="K81" s="351">
        <f t="shared" si="28"/>
        <v>4483.576354903857</v>
      </c>
      <c r="L81" s="351">
        <f t="shared" si="28"/>
        <v>2260.2943718442293</v>
      </c>
      <c r="M81" s="351">
        <f t="shared" si="28"/>
        <v>279.7285808966335</v>
      </c>
      <c r="N81" s="351">
        <f t="shared" si="28"/>
        <v>-2456.3639327581477</v>
      </c>
      <c r="O81" s="351">
        <f aca="true" t="shared" si="29" ref="O81:O89">SUM(C81:N81)</f>
        <v>25137.068368697917</v>
      </c>
    </row>
    <row r="82" spans="1:15" ht="12.75">
      <c r="A82" s="341" t="s">
        <v>50</v>
      </c>
      <c r="B82" s="341"/>
      <c r="C82" s="351">
        <f aca="true" t="shared" si="30" ref="C82:N82">+C37-C60</f>
        <v>7245.698829379224</v>
      </c>
      <c r="D82" s="351">
        <f t="shared" si="30"/>
        <v>10343.790964922518</v>
      </c>
      <c r="E82" s="351">
        <f t="shared" si="30"/>
        <v>3123.726982048829</v>
      </c>
      <c r="F82" s="351">
        <f t="shared" si="30"/>
        <v>-1974.790017164778</v>
      </c>
      <c r="G82" s="351">
        <f t="shared" si="30"/>
        <v>7859.64247509843</v>
      </c>
      <c r="H82" s="351">
        <f t="shared" si="30"/>
        <v>3992.182962786581</v>
      </c>
      <c r="I82" s="351">
        <f t="shared" si="30"/>
        <v>-7470.50033178195</v>
      </c>
      <c r="J82" s="351">
        <f t="shared" si="30"/>
        <v>-7041.153548877133</v>
      </c>
      <c r="K82" s="351">
        <f t="shared" si="30"/>
        <v>960.2605709572381</v>
      </c>
      <c r="L82" s="351">
        <f t="shared" si="30"/>
        <v>9484.383564470336</v>
      </c>
      <c r="M82" s="351">
        <f t="shared" si="30"/>
        <v>-3760.797483528848</v>
      </c>
      <c r="N82" s="351">
        <f t="shared" si="30"/>
        <v>-11418.607729430369</v>
      </c>
      <c r="O82" s="351">
        <f t="shared" si="29"/>
        <v>11343.837238880078</v>
      </c>
    </row>
    <row r="83" spans="1:15" ht="12.75">
      <c r="A83" s="341" t="s">
        <v>51</v>
      </c>
      <c r="B83" s="341"/>
      <c r="C83" s="351">
        <f aca="true" t="shared" si="31" ref="C83:N83">+C38-C61</f>
        <v>1594.923895658765</v>
      </c>
      <c r="D83" s="351">
        <f t="shared" si="31"/>
        <v>-148.57629145999454</v>
      </c>
      <c r="E83" s="351">
        <f t="shared" si="31"/>
        <v>3220.5098582084793</v>
      </c>
      <c r="F83" s="351">
        <f t="shared" si="31"/>
        <v>1476.9017734678637</v>
      </c>
      <c r="G83" s="351">
        <f t="shared" si="31"/>
        <v>1502.899177617568</v>
      </c>
      <c r="H83" s="351">
        <f t="shared" si="31"/>
        <v>807.3970267690202</v>
      </c>
      <c r="I83" s="351">
        <f t="shared" si="31"/>
        <v>784.2358424867998</v>
      </c>
      <c r="J83" s="351">
        <f t="shared" si="31"/>
        <v>1631.8532967537467</v>
      </c>
      <c r="K83" s="351">
        <f t="shared" si="31"/>
        <v>1638.6873714123394</v>
      </c>
      <c r="L83" s="351">
        <f t="shared" si="31"/>
        <v>2249.187311345937</v>
      </c>
      <c r="M83" s="351">
        <f t="shared" si="31"/>
        <v>479.83894528989185</v>
      </c>
      <c r="N83" s="351">
        <f t="shared" si="31"/>
        <v>964.6467251767135</v>
      </c>
      <c r="O83" s="351">
        <f t="shared" si="29"/>
        <v>16202.50493272713</v>
      </c>
    </row>
    <row r="84" spans="1:15" ht="12.75">
      <c r="A84" s="341" t="s">
        <v>52</v>
      </c>
      <c r="B84" s="341"/>
      <c r="C84" s="351">
        <f aca="true" t="shared" si="32" ref="C84:N84">+C39-C62</f>
        <v>1709.1786278241998</v>
      </c>
      <c r="D84" s="351">
        <f t="shared" si="32"/>
        <v>748.6786209859929</v>
      </c>
      <c r="E84" s="351">
        <f t="shared" si="32"/>
        <v>2697.255972218525</v>
      </c>
      <c r="F84" s="351">
        <f t="shared" si="32"/>
        <v>-526.9502529043639</v>
      </c>
      <c r="G84" s="351">
        <f t="shared" si="32"/>
        <v>15.016367020860343</v>
      </c>
      <c r="H84" s="351">
        <f t="shared" si="32"/>
        <v>-1813.3538713947892</v>
      </c>
      <c r="I84" s="351">
        <f t="shared" si="32"/>
        <v>1215.6500329009396</v>
      </c>
      <c r="J84" s="351">
        <f t="shared" si="32"/>
        <v>-3897.577354124285</v>
      </c>
      <c r="K84" s="351">
        <f t="shared" si="32"/>
        <v>781.52487923847</v>
      </c>
      <c r="L84" s="351">
        <f t="shared" si="32"/>
        <v>-2941.3882672749423</v>
      </c>
      <c r="M84" s="351">
        <f t="shared" si="32"/>
        <v>554.2387179285797</v>
      </c>
      <c r="N84" s="351">
        <f t="shared" si="32"/>
        <v>-3292.029360214099</v>
      </c>
      <c r="O84" s="351">
        <f t="shared" si="29"/>
        <v>-4749.755887794912</v>
      </c>
    </row>
    <row r="85" spans="1:15" ht="12.75">
      <c r="A85" s="341" t="s">
        <v>53</v>
      </c>
      <c r="B85" s="341"/>
      <c r="C85" s="351">
        <f aca="true" t="shared" si="33" ref="C85:N85">+C40-C63</f>
        <v>-6876.262949483462</v>
      </c>
      <c r="D85" s="351">
        <f t="shared" si="33"/>
        <v>-565.9240855061216</v>
      </c>
      <c r="E85" s="351">
        <f t="shared" si="33"/>
        <v>1636.1950023300087</v>
      </c>
      <c r="F85" s="351">
        <f t="shared" si="33"/>
        <v>496.26686653389334</v>
      </c>
      <c r="G85" s="351">
        <f t="shared" si="33"/>
        <v>-3347.2631744559403</v>
      </c>
      <c r="H85" s="351">
        <f t="shared" si="33"/>
        <v>-1792.304815538584</v>
      </c>
      <c r="I85" s="351">
        <f t="shared" si="33"/>
        <v>-1963.7789127490614</v>
      </c>
      <c r="J85" s="351">
        <f t="shared" si="33"/>
        <v>-3545.812865177155</v>
      </c>
      <c r="K85" s="351">
        <f t="shared" si="33"/>
        <v>1107.0206191477264</v>
      </c>
      <c r="L85" s="351">
        <f t="shared" si="33"/>
        <v>-722.7075553203249</v>
      </c>
      <c r="M85" s="351">
        <f t="shared" si="33"/>
        <v>799.4030198366454</v>
      </c>
      <c r="N85" s="351">
        <f t="shared" si="33"/>
        <v>-660.3457497364725</v>
      </c>
      <c r="O85" s="351">
        <f t="shared" si="29"/>
        <v>-15435.514600118848</v>
      </c>
    </row>
    <row r="86" spans="1:15" ht="12.75">
      <c r="A86" s="341" t="s">
        <v>54</v>
      </c>
      <c r="B86" s="341"/>
      <c r="C86" s="351">
        <f aca="true" t="shared" si="34" ref="C86:N86">+C41-C64</f>
        <v>541.4398407830813</v>
      </c>
      <c r="D86" s="351">
        <f t="shared" si="34"/>
        <v>947.4180438083422</v>
      </c>
      <c r="E86" s="351">
        <f t="shared" si="34"/>
        <v>309.2544712128729</v>
      </c>
      <c r="F86" s="351">
        <f t="shared" si="34"/>
        <v>116.05787622672506</v>
      </c>
      <c r="G86" s="351">
        <f t="shared" si="34"/>
        <v>436.0256124977968</v>
      </c>
      <c r="H86" s="351">
        <f t="shared" si="34"/>
        <v>1171.312197521227</v>
      </c>
      <c r="I86" s="351">
        <f t="shared" si="34"/>
        <v>-1276.6781325962875</v>
      </c>
      <c r="J86" s="351">
        <f t="shared" si="34"/>
        <v>-6233.770235992124</v>
      </c>
      <c r="K86" s="351">
        <f t="shared" si="34"/>
        <v>-483.55342477278464</v>
      </c>
      <c r="L86" s="351">
        <f t="shared" si="34"/>
        <v>-3630.7972433375544</v>
      </c>
      <c r="M86" s="351">
        <f t="shared" si="34"/>
        <v>-1487.6223996331682</v>
      </c>
      <c r="N86" s="351">
        <f t="shared" si="34"/>
        <v>-7464.883559846261</v>
      </c>
      <c r="O86" s="351">
        <f t="shared" si="29"/>
        <v>-17055.796954128135</v>
      </c>
    </row>
    <row r="87" spans="1:15" ht="12.75">
      <c r="A87" s="341" t="s">
        <v>58</v>
      </c>
      <c r="B87" s="341"/>
      <c r="C87" s="351">
        <f aca="true" t="shared" si="35" ref="C87:N87">+C42-C65</f>
        <v>100189.14380999998</v>
      </c>
      <c r="D87" s="351">
        <f t="shared" si="35"/>
        <v>89192.44772999999</v>
      </c>
      <c r="E87" s="351">
        <f t="shared" si="35"/>
        <v>99028.66733999999</v>
      </c>
      <c r="F87" s="351">
        <f t="shared" si="35"/>
        <v>97102.79999999999</v>
      </c>
      <c r="G87" s="351">
        <f t="shared" si="35"/>
        <v>100336.62294</v>
      </c>
      <c r="H87" s="351">
        <f t="shared" si="35"/>
        <v>95534.70155999999</v>
      </c>
      <c r="I87" s="351">
        <f t="shared" si="35"/>
        <v>99904.26599999997</v>
      </c>
      <c r="J87" s="351">
        <f t="shared" si="35"/>
        <v>99719.01819</v>
      </c>
      <c r="K87" s="351">
        <f t="shared" si="35"/>
        <v>42521.13954</v>
      </c>
      <c r="L87" s="351">
        <f t="shared" si="35"/>
        <v>-9294.42438</v>
      </c>
      <c r="M87" s="351">
        <f t="shared" si="35"/>
        <v>-12762.094320000007</v>
      </c>
      <c r="N87" s="351">
        <f t="shared" si="35"/>
        <v>-15079.529430000002</v>
      </c>
      <c r="O87" s="351">
        <f t="shared" si="29"/>
        <v>786392.7589799998</v>
      </c>
    </row>
    <row r="88" spans="1:15" ht="12.75">
      <c r="A88" s="341" t="s">
        <v>55</v>
      </c>
      <c r="B88" s="341"/>
      <c r="C88" s="351">
        <f aca="true" t="shared" si="36" ref="C88:N88">+C43-C66</f>
        <v>212.37226018698493</v>
      </c>
      <c r="D88" s="351">
        <f t="shared" si="36"/>
        <v>70.19826519801063</v>
      </c>
      <c r="E88" s="351">
        <f t="shared" si="36"/>
        <v>176.14339328967617</v>
      </c>
      <c r="F88" s="351">
        <f t="shared" si="36"/>
        <v>88.58837436420436</v>
      </c>
      <c r="G88" s="351">
        <f t="shared" si="36"/>
        <v>-8.690358766205463</v>
      </c>
      <c r="H88" s="351">
        <f t="shared" si="36"/>
        <v>-350.85222738681296</v>
      </c>
      <c r="I88" s="351">
        <f t="shared" si="36"/>
        <v>-763.9928264862283</v>
      </c>
      <c r="J88" s="351">
        <f t="shared" si="36"/>
        <v>-587.1467519299877</v>
      </c>
      <c r="K88" s="351">
        <f t="shared" si="36"/>
        <v>-568.665499973984</v>
      </c>
      <c r="L88" s="351">
        <f t="shared" si="36"/>
        <v>494.15299689559106</v>
      </c>
      <c r="M88" s="351">
        <f t="shared" si="36"/>
        <v>-845.1394269554985</v>
      </c>
      <c r="N88" s="351">
        <f t="shared" si="36"/>
        <v>-1527.9837800293208</v>
      </c>
      <c r="O88" s="351">
        <f t="shared" si="29"/>
        <v>-3611.0155815935705</v>
      </c>
    </row>
    <row r="89" spans="1:15" ht="12.75">
      <c r="A89" s="341" t="s">
        <v>56</v>
      </c>
      <c r="B89" s="341"/>
      <c r="C89" s="351">
        <f aca="true" t="shared" si="37" ref="C89:N89">+C44-C67</f>
        <v>-591.6727684244088</v>
      </c>
      <c r="D89" s="351">
        <f t="shared" si="37"/>
        <v>-66.64152013077182</v>
      </c>
      <c r="E89" s="351">
        <f t="shared" si="37"/>
        <v>532.0487789910676</v>
      </c>
      <c r="F89" s="351">
        <f t="shared" si="37"/>
        <v>147.39067972310295</v>
      </c>
      <c r="G89" s="351">
        <f t="shared" si="37"/>
        <v>293.66110731107256</v>
      </c>
      <c r="H89" s="351">
        <f t="shared" si="37"/>
        <v>-217.92459282772688</v>
      </c>
      <c r="I89" s="351">
        <f t="shared" si="37"/>
        <v>346.0363630135107</v>
      </c>
      <c r="J89" s="351">
        <f t="shared" si="37"/>
        <v>205.4743068182761</v>
      </c>
      <c r="K89" s="351">
        <f t="shared" si="37"/>
        <v>463.215536178428</v>
      </c>
      <c r="L89" s="351">
        <f t="shared" si="37"/>
        <v>87.13223406830912</v>
      </c>
      <c r="M89" s="351">
        <f t="shared" si="37"/>
        <v>483.19952026201645</v>
      </c>
      <c r="N89" s="351">
        <f t="shared" si="37"/>
        <v>-991.6267307419748</v>
      </c>
      <c r="O89" s="351">
        <f t="shared" si="29"/>
        <v>690.2929142409012</v>
      </c>
    </row>
    <row r="90" spans="1:15" ht="12.75">
      <c r="A90" s="328" t="s">
        <v>60</v>
      </c>
      <c r="B90" s="341"/>
      <c r="C90" s="351">
        <f>SUM(C80:C89)</f>
        <v>105268.90334101858</v>
      </c>
      <c r="D90" s="351">
        <f aca="true" t="shared" si="38" ref="D90:N90">SUM(D80:D89)</f>
        <v>141195.56526460726</v>
      </c>
      <c r="E90" s="351">
        <f t="shared" si="38"/>
        <v>132494.27884468375</v>
      </c>
      <c r="F90" s="351">
        <f t="shared" si="38"/>
        <v>105102.14311128875</v>
      </c>
      <c r="G90" s="351">
        <f t="shared" si="38"/>
        <v>127939.45800684742</v>
      </c>
      <c r="H90" s="351">
        <f t="shared" si="38"/>
        <v>111914.19397684008</v>
      </c>
      <c r="I90" s="351">
        <f t="shared" si="38"/>
        <v>89103.59597877464</v>
      </c>
      <c r="J90" s="351">
        <f t="shared" si="38"/>
        <v>87882.80640729454</v>
      </c>
      <c r="K90" s="351">
        <f t="shared" si="38"/>
        <v>59957.39905587898</v>
      </c>
      <c r="L90" s="351">
        <f t="shared" si="38"/>
        <v>-6119.632894666205</v>
      </c>
      <c r="M90" s="351">
        <f t="shared" si="38"/>
        <v>-18829.176927510576</v>
      </c>
      <c r="N90" s="351">
        <f t="shared" si="38"/>
        <v>-106962.06218108452</v>
      </c>
      <c r="O90" s="351">
        <f>SUM(O80:O89)</f>
        <v>828947.4719839726</v>
      </c>
    </row>
    <row r="91" spans="1:15" ht="12.75">
      <c r="A91" s="341"/>
      <c r="B91" s="341"/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</row>
    <row r="92" spans="1:15" ht="12.75">
      <c r="A92" s="328" t="s">
        <v>100</v>
      </c>
      <c r="B92" s="328"/>
      <c r="C92" s="351"/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</row>
    <row r="93" spans="1:15" ht="12.75">
      <c r="A93" s="341" t="s">
        <v>83</v>
      </c>
      <c r="B93" s="341"/>
      <c r="C93" s="351">
        <f>+C47-C71</f>
        <v>0</v>
      </c>
      <c r="D93" s="351">
        <f aca="true" t="shared" si="39" ref="D93:N93">+D47-D71</f>
        <v>-917.2800000000007</v>
      </c>
      <c r="E93" s="351">
        <f t="shared" si="39"/>
        <v>-38.220000000001164</v>
      </c>
      <c r="F93" s="351">
        <f t="shared" si="39"/>
        <v>0</v>
      </c>
      <c r="G93" s="351">
        <f t="shared" si="39"/>
        <v>0</v>
      </c>
      <c r="H93" s="351">
        <f t="shared" si="39"/>
        <v>0</v>
      </c>
      <c r="I93" s="351">
        <f t="shared" si="39"/>
        <v>0</v>
      </c>
      <c r="J93" s="351">
        <f t="shared" si="39"/>
        <v>0</v>
      </c>
      <c r="K93" s="351">
        <f t="shared" si="39"/>
        <v>0</v>
      </c>
      <c r="L93" s="351">
        <f t="shared" si="39"/>
        <v>0</v>
      </c>
      <c r="M93" s="351">
        <f t="shared" si="39"/>
        <v>-4000.3599999999988</v>
      </c>
      <c r="N93" s="351">
        <f t="shared" si="39"/>
        <v>-192.42314000000079</v>
      </c>
      <c r="O93" s="351">
        <f>SUM(C93:N93)</f>
        <v>-5148.283140000001</v>
      </c>
    </row>
    <row r="94" spans="1:15" ht="12.75">
      <c r="A94" s="341" t="s">
        <v>116</v>
      </c>
      <c r="B94" s="341"/>
      <c r="C94" s="351">
        <f>+C48-C72</f>
        <v>0</v>
      </c>
      <c r="D94" s="351">
        <f aca="true" t="shared" si="40" ref="D94:N94">+D48-D72</f>
        <v>0</v>
      </c>
      <c r="E94" s="351">
        <f t="shared" si="40"/>
        <v>0</v>
      </c>
      <c r="F94" s="351">
        <f t="shared" si="40"/>
        <v>0</v>
      </c>
      <c r="G94" s="351">
        <f t="shared" si="40"/>
        <v>0</v>
      </c>
      <c r="H94" s="351">
        <f t="shared" si="40"/>
        <v>0</v>
      </c>
      <c r="I94" s="351">
        <f t="shared" si="40"/>
        <v>0</v>
      </c>
      <c r="J94" s="351">
        <f t="shared" si="40"/>
        <v>0</v>
      </c>
      <c r="K94" s="351">
        <f t="shared" si="40"/>
        <v>0</v>
      </c>
      <c r="L94" s="351">
        <f t="shared" si="40"/>
        <v>0</v>
      </c>
      <c r="M94" s="351">
        <f t="shared" si="40"/>
        <v>0</v>
      </c>
      <c r="N94" s="351">
        <f t="shared" si="40"/>
        <v>0</v>
      </c>
      <c r="O94" s="351">
        <f>SUM(C94:N94)</f>
        <v>0</v>
      </c>
    </row>
    <row r="95" spans="1:15" ht="12.75">
      <c r="A95" s="341" t="s">
        <v>118</v>
      </c>
      <c r="B95" s="341"/>
      <c r="C95" s="351">
        <f>SUM(C93:C94)</f>
        <v>0</v>
      </c>
      <c r="D95" s="351">
        <f aca="true" t="shared" si="41" ref="D95:N95">SUM(D93:D94)</f>
        <v>-917.2800000000007</v>
      </c>
      <c r="E95" s="351">
        <f t="shared" si="41"/>
        <v>-38.220000000001164</v>
      </c>
      <c r="F95" s="351">
        <f t="shared" si="41"/>
        <v>0</v>
      </c>
      <c r="G95" s="351">
        <f t="shared" si="41"/>
        <v>0</v>
      </c>
      <c r="H95" s="351">
        <f t="shared" si="41"/>
        <v>0</v>
      </c>
      <c r="I95" s="351">
        <f t="shared" si="41"/>
        <v>0</v>
      </c>
      <c r="J95" s="351">
        <f t="shared" si="41"/>
        <v>0</v>
      </c>
      <c r="K95" s="351">
        <f t="shared" si="41"/>
        <v>0</v>
      </c>
      <c r="L95" s="351">
        <f t="shared" si="41"/>
        <v>0</v>
      </c>
      <c r="M95" s="351">
        <f t="shared" si="41"/>
        <v>-4000.3599999999988</v>
      </c>
      <c r="N95" s="351">
        <f t="shared" si="41"/>
        <v>-192.42314000000079</v>
      </c>
      <c r="O95" s="351">
        <f>SUM(O93:O94)</f>
        <v>-5148.283140000001</v>
      </c>
    </row>
    <row r="96" spans="1:15" ht="12.75">
      <c r="A96" s="341"/>
      <c r="B96" s="341"/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</row>
    <row r="97" spans="1:15" ht="12.75">
      <c r="A97" s="341" t="s">
        <v>47</v>
      </c>
      <c r="B97" s="341"/>
      <c r="C97" s="351">
        <f>C90+C95</f>
        <v>105268.90334101858</v>
      </c>
      <c r="D97" s="351">
        <f aca="true" t="shared" si="42" ref="D97:O97">D90+D95</f>
        <v>140278.28526460726</v>
      </c>
      <c r="E97" s="351">
        <f t="shared" si="42"/>
        <v>132456.05884468375</v>
      </c>
      <c r="F97" s="351">
        <f t="shared" si="42"/>
        <v>105102.14311128875</v>
      </c>
      <c r="G97" s="351">
        <f t="shared" si="42"/>
        <v>127939.45800684742</v>
      </c>
      <c r="H97" s="351">
        <f t="shared" si="42"/>
        <v>111914.19397684008</v>
      </c>
      <c r="I97" s="351">
        <f t="shared" si="42"/>
        <v>89103.59597877464</v>
      </c>
      <c r="J97" s="351">
        <f t="shared" si="42"/>
        <v>87882.80640729454</v>
      </c>
      <c r="K97" s="351">
        <f t="shared" si="42"/>
        <v>59957.39905587898</v>
      </c>
      <c r="L97" s="351">
        <f t="shared" si="42"/>
        <v>-6119.632894666205</v>
      </c>
      <c r="M97" s="351">
        <f t="shared" si="42"/>
        <v>-22829.536927510577</v>
      </c>
      <c r="N97" s="351">
        <f t="shared" si="42"/>
        <v>-107154.48532108452</v>
      </c>
      <c r="O97" s="351">
        <f t="shared" si="42"/>
        <v>823799.1888439726</v>
      </c>
    </row>
    <row r="98" spans="3:15" ht="12.75">
      <c r="C98" s="351"/>
      <c r="D98" s="351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</row>
    <row r="99" spans="1:2" ht="15.75">
      <c r="A99" s="345" t="s">
        <v>229</v>
      </c>
      <c r="B99" s="341"/>
    </row>
    <row r="100" spans="1:2" ht="12.75">
      <c r="A100" s="341" t="s">
        <v>230</v>
      </c>
      <c r="B100" s="352">
        <v>0.0787</v>
      </c>
    </row>
    <row r="101" spans="1:2" ht="12.75">
      <c r="A101" s="341"/>
      <c r="B101" s="352"/>
    </row>
    <row r="102" spans="1:16" ht="12.75">
      <c r="A102" s="328" t="s">
        <v>233</v>
      </c>
      <c r="B102" s="341"/>
      <c r="P102" s="353"/>
    </row>
    <row r="103" spans="1:16" ht="5.25" customHeight="1">
      <c r="A103" s="328"/>
      <c r="B103" s="341"/>
      <c r="P103" s="353"/>
    </row>
    <row r="104" spans="1:16" ht="12.75">
      <c r="A104" s="328" t="s">
        <v>41</v>
      </c>
      <c r="B104" s="328"/>
      <c r="P104" s="353"/>
    </row>
    <row r="105" spans="1:16" ht="12.75">
      <c r="A105" s="335" t="s">
        <v>103</v>
      </c>
      <c r="B105" s="346">
        <f>'AA Calculation'!U16</f>
        <v>0.405</v>
      </c>
      <c r="C105" s="347">
        <f>C6*$B105/100</f>
        <v>1967241.742105736</v>
      </c>
      <c r="D105" s="347">
        <f aca="true" t="shared" si="43" ref="D105:N105">D6*$B105/100</f>
        <v>1709703.4909776247</v>
      </c>
      <c r="E105" s="347">
        <f t="shared" si="43"/>
        <v>1713947.614144502</v>
      </c>
      <c r="F105" s="347">
        <f t="shared" si="43"/>
        <v>1369103.4813349915</v>
      </c>
      <c r="G105" s="347">
        <f t="shared" si="43"/>
        <v>1241576.8476029558</v>
      </c>
      <c r="H105" s="347">
        <f t="shared" si="43"/>
        <v>1028795.7640193233</v>
      </c>
      <c r="I105" s="347">
        <f t="shared" si="43"/>
        <v>1039910.0103768094</v>
      </c>
      <c r="J105" s="347">
        <f t="shared" si="43"/>
        <v>1020248.3611625126</v>
      </c>
      <c r="K105" s="347">
        <f t="shared" si="43"/>
        <v>1018146.8002384704</v>
      </c>
      <c r="L105" s="347">
        <f t="shared" si="43"/>
        <v>1163488.9019995125</v>
      </c>
      <c r="M105" s="347">
        <f t="shared" si="43"/>
        <v>1344144.8167944208</v>
      </c>
      <c r="N105" s="347">
        <f t="shared" si="43"/>
        <v>1757233.6364049362</v>
      </c>
      <c r="O105" s="347">
        <f>SUM(B105:N105)</f>
        <v>16373541.872161794</v>
      </c>
      <c r="P105" s="353"/>
    </row>
    <row r="106" spans="1:16" ht="12.75">
      <c r="A106" s="335" t="s">
        <v>104</v>
      </c>
      <c r="B106" s="346">
        <f>B105</f>
        <v>0.405</v>
      </c>
      <c r="C106" s="349">
        <f aca="true" t="shared" si="44" ref="C106:N106">C7*$B106/100</f>
        <v>122206.94896840991</v>
      </c>
      <c r="D106" s="349">
        <f t="shared" si="44"/>
        <v>103123.25499511551</v>
      </c>
      <c r="E106" s="349">
        <f t="shared" si="44"/>
        <v>101181.31144939063</v>
      </c>
      <c r="F106" s="349">
        <f t="shared" si="44"/>
        <v>82118.18606022389</v>
      </c>
      <c r="G106" s="349">
        <f t="shared" si="44"/>
        <v>61918.300619762966</v>
      </c>
      <c r="H106" s="349">
        <f t="shared" si="44"/>
        <v>39195.04836867161</v>
      </c>
      <c r="I106" s="349">
        <f t="shared" si="44"/>
        <v>33889.162147336174</v>
      </c>
      <c r="J106" s="349">
        <f t="shared" si="44"/>
        <v>31494.606476320303</v>
      </c>
      <c r="K106" s="349">
        <f t="shared" si="44"/>
        <v>35120.16510519072</v>
      </c>
      <c r="L106" s="349">
        <f t="shared" si="44"/>
        <v>49438.17811605268</v>
      </c>
      <c r="M106" s="349">
        <f t="shared" si="44"/>
        <v>75269.54947672594</v>
      </c>
      <c r="N106" s="349">
        <f t="shared" si="44"/>
        <v>130052.43164356005</v>
      </c>
      <c r="O106" s="349">
        <f aca="true" t="shared" si="45" ref="O106:O121">SUM(B106:N106)</f>
        <v>865007.5484267604</v>
      </c>
      <c r="P106" s="353"/>
    </row>
    <row r="107" spans="1:16" ht="12.75">
      <c r="A107" s="335" t="s">
        <v>105</v>
      </c>
      <c r="B107" s="346"/>
      <c r="C107" s="354">
        <f>SUM(C105:C106)</f>
        <v>2089448.691074146</v>
      </c>
      <c r="D107" s="354">
        <f aca="true" t="shared" si="46" ref="D107:N107">SUM(D105:D106)</f>
        <v>1812826.7459727402</v>
      </c>
      <c r="E107" s="354">
        <f t="shared" si="46"/>
        <v>1815128.9255938926</v>
      </c>
      <c r="F107" s="354">
        <f t="shared" si="46"/>
        <v>1451221.6673952155</v>
      </c>
      <c r="G107" s="354">
        <f t="shared" si="46"/>
        <v>1303495.1482227186</v>
      </c>
      <c r="H107" s="354">
        <f t="shared" si="46"/>
        <v>1067990.812387995</v>
      </c>
      <c r="I107" s="354">
        <f t="shared" si="46"/>
        <v>1073799.1725241456</v>
      </c>
      <c r="J107" s="354">
        <f t="shared" si="46"/>
        <v>1051742.967638833</v>
      </c>
      <c r="K107" s="354">
        <f t="shared" si="46"/>
        <v>1053266.9653436611</v>
      </c>
      <c r="L107" s="354">
        <f t="shared" si="46"/>
        <v>1212927.080115565</v>
      </c>
      <c r="M107" s="354">
        <f t="shared" si="46"/>
        <v>1419414.3662711468</v>
      </c>
      <c r="N107" s="354">
        <f t="shared" si="46"/>
        <v>1887286.0680484963</v>
      </c>
      <c r="O107" s="354">
        <f t="shared" si="45"/>
        <v>17238548.610588558</v>
      </c>
      <c r="P107" s="353"/>
    </row>
    <row r="108" spans="1:16" ht="12.75">
      <c r="A108" s="341" t="s">
        <v>49</v>
      </c>
      <c r="B108" s="348">
        <f>'AA Calculation'!U18</f>
        <v>0.406</v>
      </c>
      <c r="C108" s="347">
        <f aca="true" t="shared" si="47" ref="C108:N108">C9*$B108/100</f>
        <v>99562.36180961916</v>
      </c>
      <c r="D108" s="347">
        <f t="shared" si="47"/>
        <v>91437.10036197824</v>
      </c>
      <c r="E108" s="347">
        <f t="shared" si="47"/>
        <v>87569.40455311303</v>
      </c>
      <c r="F108" s="347">
        <f t="shared" si="47"/>
        <v>74269.54855031252</v>
      </c>
      <c r="G108" s="347">
        <f t="shared" si="47"/>
        <v>68054.96680755996</v>
      </c>
      <c r="H108" s="347">
        <f t="shared" si="47"/>
        <v>64807.356124939135</v>
      </c>
      <c r="I108" s="347">
        <f t="shared" si="47"/>
        <v>66788.63811206125</v>
      </c>
      <c r="J108" s="347">
        <f t="shared" si="47"/>
        <v>67235.28235930232</v>
      </c>
      <c r="K108" s="347">
        <f t="shared" si="47"/>
        <v>60873.65020086124</v>
      </c>
      <c r="L108" s="347">
        <f t="shared" si="47"/>
        <v>67893.2369395143</v>
      </c>
      <c r="M108" s="347">
        <f t="shared" si="47"/>
        <v>71070.40960531583</v>
      </c>
      <c r="N108" s="347">
        <f t="shared" si="47"/>
        <v>88765.8579708796</v>
      </c>
      <c r="O108" s="347">
        <f t="shared" si="45"/>
        <v>908328.2193954566</v>
      </c>
      <c r="P108" s="353"/>
    </row>
    <row r="109" spans="1:16" ht="12.75">
      <c r="A109" s="341" t="s">
        <v>50</v>
      </c>
      <c r="B109" s="348">
        <f>'AA Calculation'!U19</f>
        <v>0.409</v>
      </c>
      <c r="C109" s="347">
        <f aca="true" t="shared" si="48" ref="C109:N109">C10*$B109/100</f>
        <v>957598.0200769474</v>
      </c>
      <c r="D109" s="347">
        <f t="shared" si="48"/>
        <v>898128.7619952166</v>
      </c>
      <c r="E109" s="347">
        <f t="shared" si="48"/>
        <v>923668.8111637076</v>
      </c>
      <c r="F109" s="347">
        <f t="shared" si="48"/>
        <v>799198.2817653586</v>
      </c>
      <c r="G109" s="347">
        <f t="shared" si="48"/>
        <v>753379.4821994291</v>
      </c>
      <c r="H109" s="347">
        <f t="shared" si="48"/>
        <v>761818.2876340906</v>
      </c>
      <c r="I109" s="347">
        <f t="shared" si="48"/>
        <v>823939.4941215554</v>
      </c>
      <c r="J109" s="347">
        <f t="shared" si="48"/>
        <v>801159.2627082868</v>
      </c>
      <c r="K109" s="347">
        <f t="shared" si="48"/>
        <v>743180.5718663419</v>
      </c>
      <c r="L109" s="347">
        <f t="shared" si="48"/>
        <v>777273.7328180007</v>
      </c>
      <c r="M109" s="347">
        <f t="shared" si="48"/>
        <v>812069.7947265948</v>
      </c>
      <c r="N109" s="347">
        <f t="shared" si="48"/>
        <v>925973.793749955</v>
      </c>
      <c r="O109" s="347">
        <f t="shared" si="45"/>
        <v>9977388.703825485</v>
      </c>
      <c r="P109" s="353"/>
    </row>
    <row r="110" spans="1:16" ht="12.75">
      <c r="A110" s="341" t="s">
        <v>51</v>
      </c>
      <c r="B110" s="348">
        <f>'AA Calculation'!U20</f>
        <v>0.373</v>
      </c>
      <c r="C110" s="347">
        <f aca="true" t="shared" si="49" ref="C110:N110">C11*$B110/100</f>
        <v>124513.31230805679</v>
      </c>
      <c r="D110" s="347">
        <f t="shared" si="49"/>
        <v>115395.95911037181</v>
      </c>
      <c r="E110" s="347">
        <f t="shared" si="49"/>
        <v>125931.78320890579</v>
      </c>
      <c r="F110" s="347">
        <f t="shared" si="49"/>
        <v>114944.36474189769</v>
      </c>
      <c r="G110" s="347">
        <f t="shared" si="49"/>
        <v>118946.01617331879</v>
      </c>
      <c r="H110" s="347">
        <f t="shared" si="49"/>
        <v>120373.24015446406</v>
      </c>
      <c r="I110" s="347">
        <f t="shared" si="49"/>
        <v>138480.33678658522</v>
      </c>
      <c r="J110" s="347">
        <f t="shared" si="49"/>
        <v>136626.68487334248</v>
      </c>
      <c r="K110" s="347">
        <f t="shared" si="49"/>
        <v>127003.76057003438</v>
      </c>
      <c r="L110" s="347">
        <f t="shared" si="49"/>
        <v>120944.06020481685</v>
      </c>
      <c r="M110" s="347">
        <f t="shared" si="49"/>
        <v>119533.06508028894</v>
      </c>
      <c r="N110" s="347">
        <f t="shared" si="49"/>
        <v>119873.47723386112</v>
      </c>
      <c r="O110" s="347">
        <f t="shared" si="45"/>
        <v>1482566.4334459438</v>
      </c>
      <c r="P110" s="353"/>
    </row>
    <row r="111" spans="1:16" ht="12.75">
      <c r="A111" s="341" t="s">
        <v>52</v>
      </c>
      <c r="B111" s="348">
        <f>'AA Calculation'!U21</f>
        <v>0.363</v>
      </c>
      <c r="C111" s="347">
        <f aca="true" t="shared" si="50" ref="C111:N111">C12*$B111/100</f>
        <v>81724.94562475233</v>
      </c>
      <c r="D111" s="347">
        <f t="shared" si="50"/>
        <v>78348.88148730574</v>
      </c>
      <c r="E111" s="347">
        <f t="shared" si="50"/>
        <v>78581.55442790534</v>
      </c>
      <c r="F111" s="347">
        <f t="shared" si="50"/>
        <v>74970.14703351194</v>
      </c>
      <c r="G111" s="347">
        <f t="shared" si="50"/>
        <v>75561.13939385151</v>
      </c>
      <c r="H111" s="347">
        <f t="shared" si="50"/>
        <v>78880.85930315632</v>
      </c>
      <c r="I111" s="347">
        <f t="shared" si="50"/>
        <v>80183.82066304395</v>
      </c>
      <c r="J111" s="347">
        <f t="shared" si="50"/>
        <v>80033.09790382528</v>
      </c>
      <c r="K111" s="347">
        <f t="shared" si="50"/>
        <v>74810.59548923683</v>
      </c>
      <c r="L111" s="347">
        <f t="shared" si="50"/>
        <v>68900.88327851518</v>
      </c>
      <c r="M111" s="347">
        <f t="shared" si="50"/>
        <v>75571.1738818089</v>
      </c>
      <c r="N111" s="347">
        <f t="shared" si="50"/>
        <v>87638.6241593294</v>
      </c>
      <c r="O111" s="347">
        <f t="shared" si="45"/>
        <v>935206.0856462428</v>
      </c>
      <c r="P111" s="353"/>
    </row>
    <row r="112" spans="1:16" ht="12.75">
      <c r="A112" s="341" t="s">
        <v>53</v>
      </c>
      <c r="B112" s="348">
        <f>'AA Calculation'!U22</f>
        <v>0.343</v>
      </c>
      <c r="C112" s="347">
        <f aca="true" t="shared" si="51" ref="C112:N112">C13*$B112/100</f>
        <v>149319.90792440088</v>
      </c>
      <c r="D112" s="347">
        <f t="shared" si="51"/>
        <v>134732.20774395717</v>
      </c>
      <c r="E112" s="347">
        <f t="shared" si="51"/>
        <v>143782.31566595464</v>
      </c>
      <c r="F112" s="347">
        <f t="shared" si="51"/>
        <v>143284.08667545533</v>
      </c>
      <c r="G112" s="347">
        <f t="shared" si="51"/>
        <v>141580.45958778512</v>
      </c>
      <c r="H112" s="347">
        <f t="shared" si="51"/>
        <v>148219.34391983013</v>
      </c>
      <c r="I112" s="347">
        <f t="shared" si="51"/>
        <v>148083.14314156806</v>
      </c>
      <c r="J112" s="347">
        <f t="shared" si="51"/>
        <v>148243.14893329414</v>
      </c>
      <c r="K112" s="347">
        <f t="shared" si="51"/>
        <v>144389.51765526494</v>
      </c>
      <c r="L112" s="347">
        <f t="shared" si="51"/>
        <v>145590.06436207384</v>
      </c>
      <c r="M112" s="347">
        <f t="shared" si="51"/>
        <v>142580.82531625967</v>
      </c>
      <c r="N112" s="347">
        <f t="shared" si="51"/>
        <v>145244.07893764097</v>
      </c>
      <c r="O112" s="347">
        <f t="shared" si="45"/>
        <v>1735049.4428634848</v>
      </c>
      <c r="P112" s="353"/>
    </row>
    <row r="113" spans="1:16" ht="12.75">
      <c r="A113" s="341" t="s">
        <v>54</v>
      </c>
      <c r="B113" s="348">
        <f>'AA Calculation'!U23</f>
        <v>0.34</v>
      </c>
      <c r="C113" s="347">
        <f aca="true" t="shared" si="52" ref="C113:N113">C14*$B113/100</f>
        <v>260933.42565320682</v>
      </c>
      <c r="D113" s="347">
        <f t="shared" si="52"/>
        <v>243458.7536318168</v>
      </c>
      <c r="E113" s="347">
        <f t="shared" si="52"/>
        <v>262331.12775819283</v>
      </c>
      <c r="F113" s="347">
        <f t="shared" si="52"/>
        <v>256596.0657785051</v>
      </c>
      <c r="G113" s="347">
        <f t="shared" si="52"/>
        <v>258774.55683395982</v>
      </c>
      <c r="H113" s="347">
        <f t="shared" si="52"/>
        <v>258422.03124729355</v>
      </c>
      <c r="I113" s="347">
        <f t="shared" si="52"/>
        <v>267199.807725219</v>
      </c>
      <c r="J113" s="347">
        <f t="shared" si="52"/>
        <v>296124.3367338928</v>
      </c>
      <c r="K113" s="347">
        <f t="shared" si="52"/>
        <v>276874.9969309722</v>
      </c>
      <c r="L113" s="347">
        <f t="shared" si="52"/>
        <v>278708.0199445527</v>
      </c>
      <c r="M113" s="347">
        <f t="shared" si="52"/>
        <v>269134.2642147318</v>
      </c>
      <c r="N113" s="347">
        <f t="shared" si="52"/>
        <v>254849.67484609544</v>
      </c>
      <c r="O113" s="347">
        <f t="shared" si="45"/>
        <v>3183407.401298439</v>
      </c>
      <c r="P113" s="353"/>
    </row>
    <row r="114" spans="1:16" ht="12.75">
      <c r="A114" s="341" t="s">
        <v>58</v>
      </c>
      <c r="B114" s="348">
        <f>'AA Calculation'!U24</f>
        <v>0.287</v>
      </c>
      <c r="C114" s="347">
        <f aca="true" t="shared" si="53" ref="C114:M114">C15*$B114/100</f>
        <v>107293.54943999999</v>
      </c>
      <c r="D114" s="347">
        <f t="shared" si="53"/>
        <v>100371.38496</v>
      </c>
      <c r="E114" s="347">
        <f t="shared" si="53"/>
        <v>107293.54943999999</v>
      </c>
      <c r="F114" s="347">
        <f t="shared" si="53"/>
        <v>103832.46720000001</v>
      </c>
      <c r="G114" s="347">
        <f t="shared" si="53"/>
        <v>107293.54943999999</v>
      </c>
      <c r="H114" s="347">
        <f t="shared" si="53"/>
        <v>103832.46720000001</v>
      </c>
      <c r="I114" s="347">
        <f t="shared" si="53"/>
        <v>107293.54943999999</v>
      </c>
      <c r="J114" s="347">
        <f t="shared" si="53"/>
        <v>107293.54943999999</v>
      </c>
      <c r="K114" s="347">
        <f t="shared" si="53"/>
        <v>103832.46720000001</v>
      </c>
      <c r="L114" s="347">
        <f t="shared" si="53"/>
        <v>107293.54943999999</v>
      </c>
      <c r="M114" s="347">
        <f t="shared" si="53"/>
        <v>103832.46720000001</v>
      </c>
      <c r="N114" s="347">
        <f>N15*$B114/100</f>
        <v>107293.54943999999</v>
      </c>
      <c r="O114" s="347">
        <f t="shared" si="45"/>
        <v>1266756.38684</v>
      </c>
      <c r="P114" s="353"/>
    </row>
    <row r="115" spans="1:16" ht="12.75">
      <c r="A115" s="341" t="s">
        <v>55</v>
      </c>
      <c r="B115" s="348">
        <f>'AA Calculation'!U25</f>
        <v>0.375</v>
      </c>
      <c r="C115" s="347">
        <f aca="true" t="shared" si="54" ref="C115:N115">C16*$B115/100</f>
        <v>75874.22230026442</v>
      </c>
      <c r="D115" s="347">
        <f t="shared" si="54"/>
        <v>72114.84240531633</v>
      </c>
      <c r="E115" s="347">
        <f t="shared" si="54"/>
        <v>72085.38709085285</v>
      </c>
      <c r="F115" s="347">
        <f t="shared" si="54"/>
        <v>58832.4982819772</v>
      </c>
      <c r="G115" s="347">
        <f t="shared" si="54"/>
        <v>52755.36968617104</v>
      </c>
      <c r="H115" s="347">
        <f t="shared" si="54"/>
        <v>48601.941363009326</v>
      </c>
      <c r="I115" s="347">
        <f t="shared" si="54"/>
        <v>53563.93442417996</v>
      </c>
      <c r="J115" s="347">
        <f t="shared" si="54"/>
        <v>52814.91710817473</v>
      </c>
      <c r="K115" s="347">
        <f t="shared" si="54"/>
        <v>51604.99426982516</v>
      </c>
      <c r="L115" s="347">
        <f t="shared" si="54"/>
        <v>55573.22048596595</v>
      </c>
      <c r="M115" s="347">
        <f t="shared" si="54"/>
        <v>62116.55248989656</v>
      </c>
      <c r="N115" s="347">
        <f t="shared" si="54"/>
        <v>73594.15888284067</v>
      </c>
      <c r="O115" s="347">
        <f t="shared" si="45"/>
        <v>729532.4137884742</v>
      </c>
      <c r="P115" s="353"/>
    </row>
    <row r="116" spans="1:16" ht="12.75">
      <c r="A116" s="341" t="s">
        <v>56</v>
      </c>
      <c r="B116" s="348">
        <f>'AA Calculation'!U26</f>
        <v>0.368</v>
      </c>
      <c r="C116" s="349">
        <f aca="true" t="shared" si="55" ref="C116:N116">C17*$B116/100</f>
        <v>34704.859588499414</v>
      </c>
      <c r="D116" s="349">
        <f t="shared" si="55"/>
        <v>33050.17761956658</v>
      </c>
      <c r="E116" s="349">
        <f t="shared" si="55"/>
        <v>34647.6941335416</v>
      </c>
      <c r="F116" s="349">
        <f t="shared" si="55"/>
        <v>33426.82673298372</v>
      </c>
      <c r="G116" s="349">
        <f t="shared" si="55"/>
        <v>35418.646297816544</v>
      </c>
      <c r="H116" s="349">
        <f t="shared" si="55"/>
        <v>33712.27025605998</v>
      </c>
      <c r="I116" s="349">
        <f t="shared" si="55"/>
        <v>33136.6393605933</v>
      </c>
      <c r="J116" s="349">
        <f t="shared" si="55"/>
        <v>34356.363480770015</v>
      </c>
      <c r="K116" s="349">
        <f t="shared" si="55"/>
        <v>34703.55450177932</v>
      </c>
      <c r="L116" s="349">
        <f t="shared" si="55"/>
        <v>33875.45039743806</v>
      </c>
      <c r="M116" s="349">
        <f t="shared" si="55"/>
        <v>35967.435126493125</v>
      </c>
      <c r="N116" s="349">
        <f t="shared" si="55"/>
        <v>36192.8564639911</v>
      </c>
      <c r="O116" s="349">
        <f t="shared" si="45"/>
        <v>413193.14195953275</v>
      </c>
      <c r="P116" s="353"/>
    </row>
    <row r="117" spans="1:16" ht="12.75">
      <c r="A117" s="342" t="s">
        <v>60</v>
      </c>
      <c r="B117" s="348"/>
      <c r="C117" s="343">
        <f>SUM(C107:C116)</f>
        <v>3980973.2957998933</v>
      </c>
      <c r="D117" s="343">
        <f aca="true" t="shared" si="56" ref="D117:N117">SUM(D107:D116)</f>
        <v>3579864.8152882694</v>
      </c>
      <c r="E117" s="343">
        <f t="shared" si="56"/>
        <v>3651020.5530360667</v>
      </c>
      <c r="F117" s="343">
        <f t="shared" si="56"/>
        <v>3110575.9541552174</v>
      </c>
      <c r="G117" s="343">
        <f t="shared" si="56"/>
        <v>2915259.334642611</v>
      </c>
      <c r="H117" s="343">
        <f t="shared" si="56"/>
        <v>2686658.609590838</v>
      </c>
      <c r="I117" s="343">
        <f t="shared" si="56"/>
        <v>2792468.536298952</v>
      </c>
      <c r="J117" s="343">
        <f t="shared" si="56"/>
        <v>2775629.611179722</v>
      </c>
      <c r="K117" s="343">
        <f t="shared" si="56"/>
        <v>2670541.074027977</v>
      </c>
      <c r="L117" s="343">
        <f t="shared" si="56"/>
        <v>2868979.2979864427</v>
      </c>
      <c r="M117" s="343">
        <f t="shared" si="56"/>
        <v>3111290.3539125365</v>
      </c>
      <c r="N117" s="343">
        <f t="shared" si="56"/>
        <v>3726712.1397330896</v>
      </c>
      <c r="O117" s="343">
        <f t="shared" si="45"/>
        <v>37869973.57565162</v>
      </c>
      <c r="P117" s="353"/>
    </row>
    <row r="118" spans="1:16" ht="12.75">
      <c r="A118" s="341"/>
      <c r="B118" s="348"/>
      <c r="C118" s="347"/>
      <c r="D118" s="347"/>
      <c r="E118" s="347"/>
      <c r="F118" s="347"/>
      <c r="G118" s="347"/>
      <c r="H118" s="347"/>
      <c r="I118" s="347"/>
      <c r="J118" s="347"/>
      <c r="K118" s="347"/>
      <c r="L118" s="347"/>
      <c r="M118" s="347"/>
      <c r="N118" s="347"/>
      <c r="O118" s="347"/>
      <c r="P118" s="353"/>
    </row>
    <row r="119" spans="1:16" ht="12.75">
      <c r="A119" s="328" t="s">
        <v>100</v>
      </c>
      <c r="B119" s="348"/>
      <c r="C119" s="347"/>
      <c r="D119" s="347"/>
      <c r="E119" s="347"/>
      <c r="F119" s="347"/>
      <c r="G119" s="347"/>
      <c r="H119" s="347"/>
      <c r="I119" s="347"/>
      <c r="J119" s="347"/>
      <c r="K119" s="347"/>
      <c r="L119" s="347"/>
      <c r="M119" s="347"/>
      <c r="N119" s="347"/>
      <c r="O119" s="347"/>
      <c r="P119" s="353"/>
    </row>
    <row r="120" spans="1:16" ht="12.75">
      <c r="A120" s="341" t="s">
        <v>83</v>
      </c>
      <c r="B120" s="348">
        <f>'AA Calculation'!U29</f>
        <v>0</v>
      </c>
      <c r="C120" s="347">
        <f aca="true" t="shared" si="57" ref="C120:N120">C21*$B120/100</f>
        <v>0</v>
      </c>
      <c r="D120" s="347">
        <f t="shared" si="57"/>
        <v>0</v>
      </c>
      <c r="E120" s="347">
        <f t="shared" si="57"/>
        <v>0</v>
      </c>
      <c r="F120" s="347">
        <f t="shared" si="57"/>
        <v>0</v>
      </c>
      <c r="G120" s="347">
        <f t="shared" si="57"/>
        <v>0</v>
      </c>
      <c r="H120" s="347">
        <f t="shared" si="57"/>
        <v>0</v>
      </c>
      <c r="I120" s="347">
        <f t="shared" si="57"/>
        <v>0</v>
      </c>
      <c r="J120" s="347">
        <f t="shared" si="57"/>
        <v>0</v>
      </c>
      <c r="K120" s="347">
        <f t="shared" si="57"/>
        <v>0</v>
      </c>
      <c r="L120" s="347">
        <f t="shared" si="57"/>
        <v>0</v>
      </c>
      <c r="M120" s="347">
        <f t="shared" si="57"/>
        <v>0</v>
      </c>
      <c r="N120" s="347">
        <f t="shared" si="57"/>
        <v>0</v>
      </c>
      <c r="O120" s="347">
        <f t="shared" si="45"/>
        <v>0</v>
      </c>
      <c r="P120" s="353"/>
    </row>
    <row r="121" spans="1:16" ht="12.75">
      <c r="A121" s="341" t="s">
        <v>116</v>
      </c>
      <c r="B121" s="348">
        <f>B120</f>
        <v>0</v>
      </c>
      <c r="C121" s="349">
        <f aca="true" t="shared" si="58" ref="C121:N121">C22*$B121/100</f>
        <v>0</v>
      </c>
      <c r="D121" s="349">
        <f t="shared" si="58"/>
        <v>0</v>
      </c>
      <c r="E121" s="349">
        <f t="shared" si="58"/>
        <v>0</v>
      </c>
      <c r="F121" s="349">
        <f t="shared" si="58"/>
        <v>0</v>
      </c>
      <c r="G121" s="349">
        <f t="shared" si="58"/>
        <v>0</v>
      </c>
      <c r="H121" s="349">
        <f t="shared" si="58"/>
        <v>0</v>
      </c>
      <c r="I121" s="349">
        <f t="shared" si="58"/>
        <v>0</v>
      </c>
      <c r="J121" s="349">
        <f t="shared" si="58"/>
        <v>0</v>
      </c>
      <c r="K121" s="349">
        <f t="shared" si="58"/>
        <v>0</v>
      </c>
      <c r="L121" s="349">
        <f t="shared" si="58"/>
        <v>0</v>
      </c>
      <c r="M121" s="349">
        <f t="shared" si="58"/>
        <v>0</v>
      </c>
      <c r="N121" s="349">
        <f t="shared" si="58"/>
        <v>0</v>
      </c>
      <c r="O121" s="349">
        <f t="shared" si="45"/>
        <v>0</v>
      </c>
      <c r="P121" s="353"/>
    </row>
    <row r="122" spans="1:16" ht="12.75">
      <c r="A122" s="341" t="s">
        <v>118</v>
      </c>
      <c r="B122" s="341"/>
      <c r="C122" s="343">
        <f>SUM(C120:C121)</f>
        <v>0</v>
      </c>
      <c r="D122" s="343">
        <f aca="true" t="shared" si="59" ref="D122:N122">SUM(D120:D121)</f>
        <v>0</v>
      </c>
      <c r="E122" s="343">
        <f t="shared" si="59"/>
        <v>0</v>
      </c>
      <c r="F122" s="343">
        <f t="shared" si="59"/>
        <v>0</v>
      </c>
      <c r="G122" s="343">
        <f t="shared" si="59"/>
        <v>0</v>
      </c>
      <c r="H122" s="343">
        <f t="shared" si="59"/>
        <v>0</v>
      </c>
      <c r="I122" s="343">
        <f t="shared" si="59"/>
        <v>0</v>
      </c>
      <c r="J122" s="343">
        <f t="shared" si="59"/>
        <v>0</v>
      </c>
      <c r="K122" s="343">
        <f t="shared" si="59"/>
        <v>0</v>
      </c>
      <c r="L122" s="343">
        <f t="shared" si="59"/>
        <v>0</v>
      </c>
      <c r="M122" s="343">
        <f t="shared" si="59"/>
        <v>0</v>
      </c>
      <c r="N122" s="343">
        <f t="shared" si="59"/>
        <v>0</v>
      </c>
      <c r="O122" s="343">
        <f>SUM(O120:O121)</f>
        <v>0</v>
      </c>
      <c r="P122" s="353"/>
    </row>
    <row r="123" spans="1:16" ht="12.75">
      <c r="A123" s="341"/>
      <c r="B123" s="341"/>
      <c r="C123" s="347"/>
      <c r="D123" s="347"/>
      <c r="E123" s="347"/>
      <c r="F123" s="347"/>
      <c r="G123" s="347"/>
      <c r="H123" s="347"/>
      <c r="I123" s="347"/>
      <c r="J123" s="347"/>
      <c r="K123" s="347"/>
      <c r="L123" s="347"/>
      <c r="M123" s="347"/>
      <c r="N123" s="347"/>
      <c r="O123" s="347"/>
      <c r="P123" s="353"/>
    </row>
    <row r="124" spans="1:16" ht="12.75">
      <c r="A124" s="341" t="s">
        <v>47</v>
      </c>
      <c r="B124" s="341"/>
      <c r="C124" s="343">
        <f aca="true" t="shared" si="60" ref="C124:N124">C122+C117</f>
        <v>3980973.2957998933</v>
      </c>
      <c r="D124" s="343">
        <f t="shared" si="60"/>
        <v>3579864.8152882694</v>
      </c>
      <c r="E124" s="343">
        <f t="shared" si="60"/>
        <v>3651020.5530360667</v>
      </c>
      <c r="F124" s="343">
        <f t="shared" si="60"/>
        <v>3110575.9541552174</v>
      </c>
      <c r="G124" s="343">
        <f t="shared" si="60"/>
        <v>2915259.334642611</v>
      </c>
      <c r="H124" s="343">
        <f t="shared" si="60"/>
        <v>2686658.609590838</v>
      </c>
      <c r="I124" s="343">
        <f t="shared" si="60"/>
        <v>2792468.536298952</v>
      </c>
      <c r="J124" s="343">
        <f t="shared" si="60"/>
        <v>2775629.611179722</v>
      </c>
      <c r="K124" s="343">
        <f t="shared" si="60"/>
        <v>2670541.074027977</v>
      </c>
      <c r="L124" s="343">
        <f t="shared" si="60"/>
        <v>2868979.2979864427</v>
      </c>
      <c r="M124" s="343">
        <f t="shared" si="60"/>
        <v>3111290.3539125365</v>
      </c>
      <c r="N124" s="343">
        <f t="shared" si="60"/>
        <v>3726712.1397330896</v>
      </c>
      <c r="O124" s="343">
        <f>SUM(C124:N124)</f>
        <v>37869973.57565162</v>
      </c>
      <c r="P124" s="353"/>
    </row>
    <row r="125" spans="1:16" ht="12.75">
      <c r="A125" s="328"/>
      <c r="B125" s="341"/>
      <c r="P125" s="353"/>
    </row>
    <row r="126" spans="1:16" ht="12.75">
      <c r="A126" s="328"/>
      <c r="B126" s="341"/>
      <c r="P126" s="353"/>
    </row>
    <row r="127" spans="1:16" ht="12.75">
      <c r="A127" s="328" t="s">
        <v>233</v>
      </c>
      <c r="B127" s="355">
        <f>'AA Calculation'!N32</f>
        <v>37841615.38386011</v>
      </c>
      <c r="C127" s="343">
        <f>'AA Calculation'!N32</f>
        <v>37841615.38386011</v>
      </c>
      <c r="D127" s="343">
        <f>C129</f>
        <v>36391506.92842455</v>
      </c>
      <c r="E127" s="343">
        <f aca="true" t="shared" si="61" ref="E127:N127">D129</f>
        <v>35094475.904995</v>
      </c>
      <c r="F127" s="343">
        <f t="shared" si="61"/>
        <v>33775430.66547802</v>
      </c>
      <c r="G127" s="343">
        <f t="shared" si="61"/>
        <v>32662323.649568</v>
      </c>
      <c r="H127" s="343">
        <f t="shared" si="61"/>
        <v>31625064.21628286</v>
      </c>
      <c r="I127" s="343">
        <f t="shared" si="61"/>
        <v>30682416.260763254</v>
      </c>
      <c r="J127" s="343">
        <f t="shared" si="61"/>
        <v>29706152.728934165</v>
      </c>
      <c r="K127" s="343">
        <f t="shared" si="61"/>
        <v>28739551.125080787</v>
      </c>
      <c r="L127" s="343">
        <f t="shared" si="61"/>
        <v>27805975.8843993</v>
      </c>
      <c r="M127" s="343">
        <f t="shared" si="61"/>
        <v>26793228.60609462</v>
      </c>
      <c r="N127" s="343">
        <f t="shared" si="61"/>
        <v>25684393.962862544</v>
      </c>
      <c r="O127" s="343">
        <f>SUM(C127:N127)</f>
        <v>376802135.3167432</v>
      </c>
      <c r="P127" s="353"/>
    </row>
    <row r="128" spans="1:15" ht="12.75">
      <c r="A128" s="335" t="s">
        <v>231</v>
      </c>
      <c r="B128" s="341"/>
      <c r="C128" s="356">
        <f>C75</f>
        <v>1450108.4554355568</v>
      </c>
      <c r="D128" s="356">
        <f aca="true" t="shared" si="62" ref="D128:N128">D75</f>
        <v>1297031.0234295477</v>
      </c>
      <c r="E128" s="356">
        <f t="shared" si="62"/>
        <v>1319045.2395169835</v>
      </c>
      <c r="F128" s="356">
        <f t="shared" si="62"/>
        <v>1113107.0159100213</v>
      </c>
      <c r="G128" s="356">
        <f t="shared" si="62"/>
        <v>1037259.4332851409</v>
      </c>
      <c r="H128" s="356">
        <f t="shared" si="62"/>
        <v>942647.9555196068</v>
      </c>
      <c r="I128" s="356">
        <f t="shared" si="62"/>
        <v>976263.5318290906</v>
      </c>
      <c r="J128" s="356">
        <f t="shared" si="62"/>
        <v>966601.6038533774</v>
      </c>
      <c r="K128" s="356">
        <f t="shared" si="62"/>
        <v>933575.2406814883</v>
      </c>
      <c r="L128" s="356">
        <f t="shared" si="62"/>
        <v>1012747.2783046787</v>
      </c>
      <c r="M128" s="356">
        <f t="shared" si="62"/>
        <v>1108834.643232076</v>
      </c>
      <c r="N128" s="356">
        <f t="shared" si="62"/>
        <v>1350849.654365727</v>
      </c>
      <c r="O128" s="356">
        <f>SUM(C128:N128)</f>
        <v>13508071.075363295</v>
      </c>
    </row>
    <row r="129" spans="1:15" ht="12.75">
      <c r="A129" s="335" t="s">
        <v>117</v>
      </c>
      <c r="B129" s="341"/>
      <c r="C129" s="337">
        <f>C127-C128</f>
        <v>36391506.92842455</v>
      </c>
      <c r="D129" s="337">
        <f aca="true" t="shared" si="63" ref="D129:N129">D127-D128</f>
        <v>35094475.904995</v>
      </c>
      <c r="E129" s="337">
        <f t="shared" si="63"/>
        <v>33775430.66547802</v>
      </c>
      <c r="F129" s="337">
        <f t="shared" si="63"/>
        <v>32662323.649568</v>
      </c>
      <c r="G129" s="337">
        <f t="shared" si="63"/>
        <v>31625064.21628286</v>
      </c>
      <c r="H129" s="337">
        <f t="shared" si="63"/>
        <v>30682416.260763254</v>
      </c>
      <c r="I129" s="337">
        <f t="shared" si="63"/>
        <v>29706152.728934165</v>
      </c>
      <c r="J129" s="337">
        <f t="shared" si="63"/>
        <v>28739551.125080787</v>
      </c>
      <c r="K129" s="337">
        <f t="shared" si="63"/>
        <v>27805975.8843993</v>
      </c>
      <c r="L129" s="337">
        <f t="shared" si="63"/>
        <v>26793228.60609462</v>
      </c>
      <c r="M129" s="337">
        <f t="shared" si="63"/>
        <v>25684393.962862544</v>
      </c>
      <c r="N129" s="337">
        <f t="shared" si="63"/>
        <v>24333544.308496818</v>
      </c>
      <c r="O129" s="343">
        <f>SUM(C129:N129)</f>
        <v>363294064.2413799</v>
      </c>
    </row>
    <row r="130" spans="1:15" ht="12.75">
      <c r="A130" s="335" t="s">
        <v>232</v>
      </c>
      <c r="B130" s="341"/>
      <c r="C130" s="337">
        <f>$B$100/12*C129</f>
        <v>238667.6329389177</v>
      </c>
      <c r="D130" s="337">
        <f aca="true" t="shared" si="64" ref="D130:N130">$B$100/12*D129</f>
        <v>230161.27114359222</v>
      </c>
      <c r="E130" s="337">
        <f t="shared" si="64"/>
        <v>221510.53278109335</v>
      </c>
      <c r="F130" s="337">
        <f t="shared" si="64"/>
        <v>214210.40593508346</v>
      </c>
      <c r="G130" s="337">
        <f t="shared" si="64"/>
        <v>207407.7128184551</v>
      </c>
      <c r="H130" s="337">
        <f t="shared" si="64"/>
        <v>201225.51331017233</v>
      </c>
      <c r="I130" s="337">
        <f t="shared" si="64"/>
        <v>194822.8516472599</v>
      </c>
      <c r="J130" s="337">
        <f t="shared" si="64"/>
        <v>188483.55612865483</v>
      </c>
      <c r="K130" s="337">
        <f t="shared" si="64"/>
        <v>182360.85850851875</v>
      </c>
      <c r="L130" s="337">
        <f t="shared" si="64"/>
        <v>175718.92427497057</v>
      </c>
      <c r="M130" s="337">
        <f t="shared" si="64"/>
        <v>168446.81707310685</v>
      </c>
      <c r="N130" s="337">
        <f t="shared" si="64"/>
        <v>159587.4947565583</v>
      </c>
      <c r="O130" s="343">
        <f>SUM(C130:N130)</f>
        <v>2382603.571316384</v>
      </c>
    </row>
    <row r="133" ht="15.75">
      <c r="A133" s="314" t="s">
        <v>246</v>
      </c>
    </row>
    <row r="134" ht="12.75">
      <c r="A134" s="313" t="s">
        <v>41</v>
      </c>
    </row>
    <row r="135" spans="1:15" ht="12.75">
      <c r="A135" s="313" t="s">
        <v>103</v>
      </c>
      <c r="C135" s="336">
        <v>545673.0485100003</v>
      </c>
      <c r="D135" s="336">
        <v>496433.14659000013</v>
      </c>
      <c r="E135" s="336">
        <v>482387.78941362456</v>
      </c>
      <c r="F135" s="336">
        <v>380542.0910715206</v>
      </c>
      <c r="G135" s="336">
        <v>352918.6866243209</v>
      </c>
      <c r="H135" s="336">
        <v>291236.20301336504</v>
      </c>
      <c r="I135" s="336">
        <v>283967.4199773751</v>
      </c>
      <c r="J135" s="336">
        <v>284235.99850450776</v>
      </c>
      <c r="K135" s="336">
        <v>285520.7890259035</v>
      </c>
      <c r="L135" s="336">
        <v>317208.3741128873</v>
      </c>
      <c r="M135" s="336">
        <v>367817.5481741376</v>
      </c>
      <c r="N135" s="336">
        <v>443846.681978021</v>
      </c>
      <c r="O135" s="337">
        <f>SUM(C135:N135)</f>
        <v>4531787.776995664</v>
      </c>
    </row>
    <row r="136" spans="1:15" ht="15">
      <c r="A136" s="313" t="s">
        <v>104</v>
      </c>
      <c r="C136" s="338">
        <v>27230.489857513378</v>
      </c>
      <c r="D136" s="338">
        <v>26176.407108390966</v>
      </c>
      <c r="E136" s="338">
        <v>26131.846525706453</v>
      </c>
      <c r="F136" s="338">
        <v>21149.197635239438</v>
      </c>
      <c r="G136" s="338">
        <v>15056.438505880238</v>
      </c>
      <c r="H136" s="338">
        <v>10146.593253341449</v>
      </c>
      <c r="I136" s="338">
        <v>8062.787661002166</v>
      </c>
      <c r="J136" s="338">
        <v>8260.056226446735</v>
      </c>
      <c r="K136" s="338">
        <v>9243.38189029114</v>
      </c>
      <c r="L136" s="338">
        <v>12461.633392570391</v>
      </c>
      <c r="M136" s="338">
        <v>19478.266588711867</v>
      </c>
      <c r="N136" s="338">
        <v>29658.453645458318</v>
      </c>
      <c r="O136" s="339">
        <f>SUM(C136:N136)</f>
        <v>213055.5522905526</v>
      </c>
    </row>
    <row r="137" spans="1:15" ht="12.75">
      <c r="A137" s="313" t="s">
        <v>105</v>
      </c>
      <c r="C137" s="337">
        <f>SUM(C135:C136)</f>
        <v>572903.5383675137</v>
      </c>
      <c r="D137" s="337">
        <f aca="true" t="shared" si="65" ref="D137:N137">SUM(D135:D136)</f>
        <v>522609.5536983911</v>
      </c>
      <c r="E137" s="337">
        <f t="shared" si="65"/>
        <v>508519.635939331</v>
      </c>
      <c r="F137" s="337">
        <f t="shared" si="65"/>
        <v>401691.28870676004</v>
      </c>
      <c r="G137" s="337">
        <f t="shared" si="65"/>
        <v>367975.12513020117</v>
      </c>
      <c r="H137" s="337">
        <f t="shared" si="65"/>
        <v>301382.7962667065</v>
      </c>
      <c r="I137" s="337">
        <f t="shared" si="65"/>
        <v>292030.20763837727</v>
      </c>
      <c r="J137" s="337">
        <f t="shared" si="65"/>
        <v>292496.0547309545</v>
      </c>
      <c r="K137" s="337">
        <f t="shared" si="65"/>
        <v>294764.1709161946</v>
      </c>
      <c r="L137" s="337">
        <f t="shared" si="65"/>
        <v>329670.0075054577</v>
      </c>
      <c r="M137" s="337">
        <f t="shared" si="65"/>
        <v>387295.8147628495</v>
      </c>
      <c r="N137" s="337">
        <f t="shared" si="65"/>
        <v>473505.1356234793</v>
      </c>
      <c r="O137" s="337">
        <f>SUM(C137:N137)</f>
        <v>4744843.329286217</v>
      </c>
    </row>
    <row r="138" spans="1:15" ht="12.75">
      <c r="A138" s="313" t="s">
        <v>49</v>
      </c>
      <c r="C138" s="336">
        <v>32069.42603536236</v>
      </c>
      <c r="D138" s="336">
        <v>30652.555425832703</v>
      </c>
      <c r="E138" s="336">
        <v>31716.259475573534</v>
      </c>
      <c r="F138" s="336">
        <v>25182.244453050836</v>
      </c>
      <c r="G138" s="336">
        <v>25222.993817502655</v>
      </c>
      <c r="H138" s="336">
        <v>21726.40024850222</v>
      </c>
      <c r="I138" s="336">
        <v>22361.91532661487</v>
      </c>
      <c r="J138" s="336">
        <v>22215.47793727776</v>
      </c>
      <c r="K138" s="336">
        <v>22628.206287502635</v>
      </c>
      <c r="L138" s="336">
        <v>23137.205550500854</v>
      </c>
      <c r="M138" s="336">
        <v>22620.837300009844</v>
      </c>
      <c r="N138" s="336">
        <v>26102.573067578345</v>
      </c>
      <c r="O138" s="337">
        <f aca="true" t="shared" si="66" ref="O138:O146">SUM(C138:N138)</f>
        <v>305636.09492530866</v>
      </c>
    </row>
    <row r="139" spans="1:15" ht="12.75">
      <c r="A139" s="313" t="s">
        <v>50</v>
      </c>
      <c r="C139" s="336">
        <v>277912.1493650057</v>
      </c>
      <c r="D139" s="336">
        <v>263747.65811721206</v>
      </c>
      <c r="E139" s="336">
        <v>264694.09198246244</v>
      </c>
      <c r="F139" s="336">
        <v>224945.11008882086</v>
      </c>
      <c r="G139" s="336">
        <v>220527.44689893493</v>
      </c>
      <c r="H139" s="336">
        <v>219547.72634713675</v>
      </c>
      <c r="I139" s="336">
        <v>227168.92655047696</v>
      </c>
      <c r="J139" s="336">
        <v>221082.49749233454</v>
      </c>
      <c r="K139" s="336">
        <v>211617.34039161014</v>
      </c>
      <c r="L139" s="336">
        <v>228721.36779140116</v>
      </c>
      <c r="M139" s="336">
        <v>227037.98954415432</v>
      </c>
      <c r="N139" s="336">
        <v>252664.28782578476</v>
      </c>
      <c r="O139" s="337">
        <f t="shared" si="66"/>
        <v>2839666.5923953345</v>
      </c>
    </row>
    <row r="140" spans="1:15" ht="12.75">
      <c r="A140" s="313" t="s">
        <v>51</v>
      </c>
      <c r="C140" s="336">
        <v>38606.2127</v>
      </c>
      <c r="D140" s="336">
        <v>33855.2445</v>
      </c>
      <c r="E140" s="336">
        <v>40947.26460000001</v>
      </c>
      <c r="F140" s="336">
        <v>35644.67500000001</v>
      </c>
      <c r="G140" s="336">
        <v>36855.53630000001</v>
      </c>
      <c r="H140" s="336">
        <v>36453.796500000004</v>
      </c>
      <c r="I140" s="336">
        <v>41766.296</v>
      </c>
      <c r="J140" s="336">
        <v>42222.2009</v>
      </c>
      <c r="K140" s="336">
        <v>39392.4245</v>
      </c>
      <c r="L140" s="336">
        <v>38327.4782</v>
      </c>
      <c r="M140" s="336">
        <v>35818.589400000004</v>
      </c>
      <c r="N140" s="336">
        <v>36492.4076</v>
      </c>
      <c r="O140" s="337">
        <f t="shared" si="66"/>
        <v>456382.12620000006</v>
      </c>
    </row>
    <row r="141" spans="1:15" ht="12.75">
      <c r="A141" s="313" t="s">
        <v>52</v>
      </c>
      <c r="C141" s="336">
        <v>27714.869624252624</v>
      </c>
      <c r="D141" s="336">
        <v>25737.48490815525</v>
      </c>
      <c r="E141" s="336">
        <v>27634.700376992096</v>
      </c>
      <c r="F141" s="336">
        <v>23464.448895422076</v>
      </c>
      <c r="G141" s="336">
        <v>24160.30698977327</v>
      </c>
      <c r="H141" s="336">
        <v>23510.74325512994</v>
      </c>
      <c r="I141" s="336">
        <v>26760.700879823537</v>
      </c>
      <c r="J141" s="336">
        <v>21929.19428199497</v>
      </c>
      <c r="K141" s="336">
        <v>24637.520108685596</v>
      </c>
      <c r="L141" s="336">
        <v>19266.29183150602</v>
      </c>
      <c r="M141" s="336">
        <v>24667.947415144314</v>
      </c>
      <c r="N141" s="336">
        <v>24926.090767082092</v>
      </c>
      <c r="O141" s="337">
        <f t="shared" si="66"/>
        <v>294410.2993339618</v>
      </c>
    </row>
    <row r="142" spans="1:15" ht="12.75">
      <c r="A142" s="313" t="s">
        <v>53</v>
      </c>
      <c r="C142" s="336">
        <v>46299.9500145516</v>
      </c>
      <c r="D142" s="336">
        <v>48075.65004551991</v>
      </c>
      <c r="E142" s="336">
        <v>53807.434104622684</v>
      </c>
      <c r="F142" s="336">
        <v>52353.883102681335</v>
      </c>
      <c r="G142" s="336">
        <v>47444.32139390945</v>
      </c>
      <c r="H142" s="336">
        <v>51581.45513350813</v>
      </c>
      <c r="I142" s="336">
        <v>51340.659719052856</v>
      </c>
      <c r="J142" s="336">
        <v>49631.18717033451</v>
      </c>
      <c r="K142" s="336">
        <v>53435.79759884059</v>
      </c>
      <c r="L142" s="336">
        <v>51825.793820731225</v>
      </c>
      <c r="M142" s="336">
        <v>52438.281430218</v>
      </c>
      <c r="N142" s="336">
        <v>51770.37998239956</v>
      </c>
      <c r="O142" s="337">
        <f t="shared" si="66"/>
        <v>610004.7935163698</v>
      </c>
    </row>
    <row r="143" spans="1:15" ht="12.75">
      <c r="A143" s="313" t="s">
        <v>54</v>
      </c>
      <c r="C143" s="336">
        <v>76639.43374559999</v>
      </c>
      <c r="D143" s="336">
        <v>72047.41600319999</v>
      </c>
      <c r="E143" s="336">
        <v>76762.62959309998</v>
      </c>
      <c r="F143" s="336">
        <v>74856.58531560001</v>
      </c>
      <c r="G143" s="336">
        <v>75881.98232999998</v>
      </c>
      <c r="H143" s="336">
        <v>76678.0187778</v>
      </c>
      <c r="I143" s="336">
        <v>76241.912571</v>
      </c>
      <c r="J143" s="336">
        <v>78605.3867148</v>
      </c>
      <c r="K143" s="336">
        <v>80028.4746591</v>
      </c>
      <c r="L143" s="336">
        <v>76715.5764969</v>
      </c>
      <c r="M143" s="336">
        <v>76547.3600133</v>
      </c>
      <c r="N143" s="336">
        <v>65082.48227910002</v>
      </c>
      <c r="O143" s="337">
        <f t="shared" si="66"/>
        <v>906087.2584995</v>
      </c>
    </row>
    <row r="144" spans="1:15" ht="12.75">
      <c r="A144" s="313" t="s">
        <v>58</v>
      </c>
      <c r="C144" s="336">
        <v>178793.04243000003</v>
      </c>
      <c r="D144" s="336">
        <v>161046.28251000002</v>
      </c>
      <c r="E144" s="336">
        <v>177202.75986000002</v>
      </c>
      <c r="F144" s="336">
        <v>173225.00160000002</v>
      </c>
      <c r="G144" s="336">
        <v>178995.14346000002</v>
      </c>
      <c r="H144" s="336">
        <v>171076.12596000003</v>
      </c>
      <c r="I144" s="336">
        <v>178402.65432000003</v>
      </c>
      <c r="J144" s="336">
        <v>178148.79621000003</v>
      </c>
      <c r="K144" s="336">
        <v>98427.91134000002</v>
      </c>
      <c r="L144" s="336">
        <v>28760.00454</v>
      </c>
      <c r="M144" s="336">
        <v>22669.405680000003</v>
      </c>
      <c r="N144" s="336">
        <v>20832.26799</v>
      </c>
      <c r="O144" s="337">
        <f t="shared" si="66"/>
        <v>1567579.3959000006</v>
      </c>
    </row>
    <row r="145" spans="1:15" ht="12.75">
      <c r="A145" s="313" t="s">
        <v>55</v>
      </c>
      <c r="C145" s="336">
        <v>21442.1193</v>
      </c>
      <c r="D145" s="336">
        <v>20257.384349999997</v>
      </c>
      <c r="E145" s="336">
        <v>20347.581449999998</v>
      </c>
      <c r="F145" s="336">
        <v>16555.416149999997</v>
      </c>
      <c r="G145" s="336">
        <v>14763.428399999999</v>
      </c>
      <c r="H145" s="336">
        <v>13282.530449999997</v>
      </c>
      <c r="I145" s="336">
        <v>14287.996799999999</v>
      </c>
      <c r="J145" s="336">
        <v>14242.59795</v>
      </c>
      <c r="K145" s="336">
        <v>13920.9924</v>
      </c>
      <c r="L145" s="336">
        <v>16019.67045</v>
      </c>
      <c r="M145" s="336">
        <v>16607.328149999998</v>
      </c>
      <c r="N145" s="336">
        <v>19186.55655</v>
      </c>
      <c r="O145" s="337">
        <f t="shared" si="66"/>
        <v>200913.60239999997</v>
      </c>
    </row>
    <row r="146" spans="1:15" ht="15">
      <c r="A146" s="313" t="s">
        <v>56</v>
      </c>
      <c r="C146" s="338">
        <v>11077.190303693813</v>
      </c>
      <c r="D146" s="338">
        <v>11146.185177893765</v>
      </c>
      <c r="E146" s="338">
        <v>12408.39954979175</v>
      </c>
      <c r="F146" s="338">
        <v>11531.373296301503</v>
      </c>
      <c r="G146" s="338">
        <v>12383.748244354212</v>
      </c>
      <c r="H146" s="338">
        <v>11189.25015830645</v>
      </c>
      <c r="I146" s="338">
        <v>11671.561046883737</v>
      </c>
      <c r="J146" s="338">
        <v>11916.924732536867</v>
      </c>
      <c r="K146" s="338">
        <v>12344.641596659147</v>
      </c>
      <c r="L146" s="338">
        <v>11611.3330354786</v>
      </c>
      <c r="M146" s="338">
        <v>12797.96808571445</v>
      </c>
      <c r="N146" s="338">
        <v>11101.910127972236</v>
      </c>
      <c r="O146" s="339">
        <f t="shared" si="66"/>
        <v>141180.4853555865</v>
      </c>
    </row>
    <row r="147" spans="1:15" ht="12.75">
      <c r="A147" s="313" t="s">
        <v>60</v>
      </c>
      <c r="C147" s="343">
        <f>SUM(C137:C146)</f>
        <v>1283457.9318859798</v>
      </c>
      <c r="D147" s="343">
        <f aca="true" t="shared" si="67" ref="D147:N147">SUM(D137:D146)</f>
        <v>1189175.4147362048</v>
      </c>
      <c r="E147" s="343">
        <f t="shared" si="67"/>
        <v>1214040.7569318735</v>
      </c>
      <c r="F147" s="343">
        <f t="shared" si="67"/>
        <v>1039450.0266086367</v>
      </c>
      <c r="G147" s="343">
        <f t="shared" si="67"/>
        <v>1004210.0329646758</v>
      </c>
      <c r="H147" s="343">
        <f t="shared" si="67"/>
        <v>926428.84309709</v>
      </c>
      <c r="I147" s="343">
        <f t="shared" si="67"/>
        <v>942032.830852229</v>
      </c>
      <c r="J147" s="343">
        <f t="shared" si="67"/>
        <v>932490.3181202332</v>
      </c>
      <c r="K147" s="343">
        <f t="shared" si="67"/>
        <v>851197.4797985927</v>
      </c>
      <c r="L147" s="343">
        <f t="shared" si="67"/>
        <v>824054.7292219757</v>
      </c>
      <c r="M147" s="343">
        <f t="shared" si="67"/>
        <v>878501.5217813904</v>
      </c>
      <c r="N147" s="343">
        <f t="shared" si="67"/>
        <v>981664.0918133962</v>
      </c>
      <c r="O147" s="343">
        <f>SUM(O137:O146)</f>
        <v>12066703.977812275</v>
      </c>
    </row>
    <row r="148" spans="3:15" ht="12.75">
      <c r="C148" s="337"/>
      <c r="D148" s="337"/>
      <c r="E148" s="337"/>
      <c r="F148" s="337"/>
      <c r="G148" s="337"/>
      <c r="H148" s="337"/>
      <c r="I148" s="337"/>
      <c r="J148" s="337"/>
      <c r="K148" s="337"/>
      <c r="L148" s="337"/>
      <c r="M148" s="337"/>
      <c r="N148" s="337"/>
      <c r="O148" s="337"/>
    </row>
    <row r="149" spans="1:15" ht="12.75">
      <c r="A149" s="313" t="s">
        <v>221</v>
      </c>
      <c r="C149" s="336">
        <v>12398.400000000001</v>
      </c>
      <c r="D149" s="336">
        <v>9979.2</v>
      </c>
      <c r="E149" s="336">
        <v>12364.800000000001</v>
      </c>
      <c r="F149" s="336">
        <v>11592</v>
      </c>
      <c r="G149" s="336">
        <v>12398.400000000001</v>
      </c>
      <c r="H149" s="336">
        <v>11592</v>
      </c>
      <c r="I149" s="336">
        <v>12398.400000000001</v>
      </c>
      <c r="J149" s="336">
        <v>12398.400000000001</v>
      </c>
      <c r="K149" s="336">
        <v>11592</v>
      </c>
      <c r="L149" s="336">
        <v>12398.400000000001</v>
      </c>
      <c r="M149" s="336">
        <v>8075.200000000001</v>
      </c>
      <c r="N149" s="336">
        <v>12229.2368</v>
      </c>
      <c r="O149" s="337">
        <f>SUM(C149:N149)</f>
        <v>139416.4368</v>
      </c>
    </row>
    <row r="150" spans="1:15" ht="15">
      <c r="A150" s="313" t="s">
        <v>222</v>
      </c>
      <c r="C150" s="338">
        <v>0</v>
      </c>
      <c r="D150" s="338">
        <v>0</v>
      </c>
      <c r="E150" s="338">
        <v>0</v>
      </c>
      <c r="F150" s="338">
        <v>0</v>
      </c>
      <c r="G150" s="338">
        <v>0</v>
      </c>
      <c r="H150" s="338">
        <v>0</v>
      </c>
      <c r="I150" s="338">
        <v>0</v>
      </c>
      <c r="J150" s="338">
        <v>0</v>
      </c>
      <c r="K150" s="338">
        <v>0</v>
      </c>
      <c r="L150" s="338">
        <v>0</v>
      </c>
      <c r="M150" s="338">
        <v>0</v>
      </c>
      <c r="N150" s="338">
        <v>0</v>
      </c>
      <c r="O150" s="339">
        <f>SUM(C150:N150)</f>
        <v>0</v>
      </c>
    </row>
    <row r="151" spans="1:15" ht="12.75">
      <c r="A151" s="313" t="s">
        <v>224</v>
      </c>
      <c r="C151" s="343">
        <f>SUM(C149:C150)</f>
        <v>12398.400000000001</v>
      </c>
      <c r="D151" s="343">
        <f aca="true" t="shared" si="68" ref="D151:N151">SUM(D149:D150)</f>
        <v>9979.2</v>
      </c>
      <c r="E151" s="343">
        <f t="shared" si="68"/>
        <v>12364.800000000001</v>
      </c>
      <c r="F151" s="343">
        <f t="shared" si="68"/>
        <v>11592</v>
      </c>
      <c r="G151" s="343">
        <f t="shared" si="68"/>
        <v>12398.400000000001</v>
      </c>
      <c r="H151" s="343">
        <f t="shared" si="68"/>
        <v>11592</v>
      </c>
      <c r="I151" s="343">
        <f t="shared" si="68"/>
        <v>12398.400000000001</v>
      </c>
      <c r="J151" s="343">
        <f t="shared" si="68"/>
        <v>12398.400000000001</v>
      </c>
      <c r="K151" s="343">
        <f t="shared" si="68"/>
        <v>11592</v>
      </c>
      <c r="L151" s="343">
        <f t="shared" si="68"/>
        <v>12398.400000000001</v>
      </c>
      <c r="M151" s="343">
        <f t="shared" si="68"/>
        <v>8075.200000000001</v>
      </c>
      <c r="N151" s="343">
        <f t="shared" si="68"/>
        <v>12229.2368</v>
      </c>
      <c r="O151" s="343">
        <f>SUM(O149:O150)</f>
        <v>139416.4368</v>
      </c>
    </row>
    <row r="152" spans="3:15" ht="12.75">
      <c r="C152" s="337"/>
      <c r="D152" s="337"/>
      <c r="E152" s="337"/>
      <c r="F152" s="337"/>
      <c r="G152" s="337"/>
      <c r="H152" s="337"/>
      <c r="I152" s="337"/>
      <c r="J152" s="337"/>
      <c r="K152" s="337"/>
      <c r="L152" s="337"/>
      <c r="M152" s="337"/>
      <c r="N152" s="337"/>
      <c r="O152" s="337"/>
    </row>
    <row r="153" spans="1:15" ht="12.75">
      <c r="A153" s="313" t="s">
        <v>225</v>
      </c>
      <c r="C153" s="343">
        <f>C147+C151</f>
        <v>1295856.3318859797</v>
      </c>
      <c r="D153" s="343">
        <f aca="true" t="shared" si="69" ref="D153:N153">D147+D151</f>
        <v>1199154.6147362047</v>
      </c>
      <c r="E153" s="343">
        <f t="shared" si="69"/>
        <v>1226405.5569318736</v>
      </c>
      <c r="F153" s="343">
        <f t="shared" si="69"/>
        <v>1051042.0266086366</v>
      </c>
      <c r="G153" s="343">
        <f t="shared" si="69"/>
        <v>1016608.4329646758</v>
      </c>
      <c r="H153" s="343">
        <f t="shared" si="69"/>
        <v>938020.84309709</v>
      </c>
      <c r="I153" s="343">
        <f t="shared" si="69"/>
        <v>954431.230852229</v>
      </c>
      <c r="J153" s="343">
        <f t="shared" si="69"/>
        <v>944888.7181202333</v>
      </c>
      <c r="K153" s="343">
        <f t="shared" si="69"/>
        <v>862789.4797985927</v>
      </c>
      <c r="L153" s="343">
        <f t="shared" si="69"/>
        <v>836453.1292219757</v>
      </c>
      <c r="M153" s="343">
        <f t="shared" si="69"/>
        <v>886576.7217813904</v>
      </c>
      <c r="N153" s="343">
        <f t="shared" si="69"/>
        <v>993893.3286133962</v>
      </c>
      <c r="O153" s="343">
        <f>SUM(C153:N153)</f>
        <v>12206120.414612278</v>
      </c>
    </row>
    <row r="155" ht="15.75">
      <c r="A155" s="314" t="s">
        <v>247</v>
      </c>
    </row>
    <row r="157" ht="12.75">
      <c r="A157" s="313" t="s">
        <v>41</v>
      </c>
    </row>
    <row r="158" spans="1:15" ht="12.75">
      <c r="A158" s="313" t="s">
        <v>103</v>
      </c>
      <c r="B158" s="313">
        <v>0.111</v>
      </c>
      <c r="C158" s="347">
        <f>C6*$B158/100</f>
        <v>539169.958947498</v>
      </c>
      <c r="D158" s="347">
        <f aca="true" t="shared" si="70" ref="C158:N159">D6*$B158/100</f>
        <v>468585.40123090445</v>
      </c>
      <c r="E158" s="347">
        <f t="shared" si="70"/>
        <v>469748.60535812273</v>
      </c>
      <c r="F158" s="347">
        <f t="shared" si="70"/>
        <v>375235.7689584791</v>
      </c>
      <c r="G158" s="347">
        <f t="shared" si="70"/>
        <v>340284.02489858784</v>
      </c>
      <c r="H158" s="347">
        <f t="shared" si="70"/>
        <v>281966.24643492565</v>
      </c>
      <c r="I158" s="347">
        <f t="shared" si="70"/>
        <v>285012.3732143848</v>
      </c>
      <c r="J158" s="347">
        <f t="shared" si="70"/>
        <v>279623.6249112071</v>
      </c>
      <c r="K158" s="347">
        <f t="shared" si="70"/>
        <v>279047.64154684</v>
      </c>
      <c r="L158" s="347">
        <f t="shared" si="70"/>
        <v>318882.1435109775</v>
      </c>
      <c r="M158" s="347">
        <f t="shared" si="70"/>
        <v>368395.2460843968</v>
      </c>
      <c r="N158" s="347">
        <f t="shared" si="70"/>
        <v>481612.181829501</v>
      </c>
      <c r="O158" s="347">
        <f>SUM(B158:N158)</f>
        <v>4487563.327925825</v>
      </c>
    </row>
    <row r="159" spans="1:15" ht="12.75">
      <c r="A159" s="313" t="s">
        <v>104</v>
      </c>
      <c r="B159" s="313">
        <v>0.111</v>
      </c>
      <c r="C159" s="347">
        <f t="shared" si="70"/>
        <v>33493.75638393457</v>
      </c>
      <c r="D159" s="347">
        <f t="shared" si="70"/>
        <v>28263.410628290916</v>
      </c>
      <c r="E159" s="347">
        <f t="shared" si="70"/>
        <v>27731.174249092248</v>
      </c>
      <c r="F159" s="347">
        <f t="shared" si="70"/>
        <v>22506.465809098398</v>
      </c>
      <c r="G159" s="347">
        <f t="shared" si="70"/>
        <v>16970.200910601703</v>
      </c>
      <c r="H159" s="347">
        <f t="shared" si="70"/>
        <v>10742.346589932218</v>
      </c>
      <c r="I159" s="347">
        <f t="shared" si="70"/>
        <v>9288.14073667732</v>
      </c>
      <c r="J159" s="347">
        <f t="shared" si="70"/>
        <v>8631.855108324824</v>
      </c>
      <c r="K159" s="347">
        <f t="shared" si="70"/>
        <v>9625.526732533752</v>
      </c>
      <c r="L159" s="347">
        <f t="shared" si="70"/>
        <v>13549.722891066289</v>
      </c>
      <c r="M159" s="347">
        <f t="shared" si="70"/>
        <v>20629.43207880637</v>
      </c>
      <c r="N159" s="347">
        <f t="shared" si="70"/>
        <v>35643.99978379053</v>
      </c>
      <c r="O159" s="349">
        <f aca="true" t="shared" si="71" ref="O159:O170">SUM(B159:N159)</f>
        <v>237076.14290214915</v>
      </c>
    </row>
    <row r="160" spans="1:15" ht="12.75">
      <c r="A160" s="313" t="s">
        <v>105</v>
      </c>
      <c r="B160" s="313">
        <v>0.111</v>
      </c>
      <c r="C160" s="354">
        <f>SUM(C158:C159)</f>
        <v>572663.7153314325</v>
      </c>
      <c r="D160" s="354">
        <f aca="true" t="shared" si="72" ref="D160:N160">SUM(D158:D159)</f>
        <v>496848.81185919535</v>
      </c>
      <c r="E160" s="354">
        <f t="shared" si="72"/>
        <v>497479.77960721496</v>
      </c>
      <c r="F160" s="354">
        <f t="shared" si="72"/>
        <v>397742.2347675775</v>
      </c>
      <c r="G160" s="354">
        <f t="shared" si="72"/>
        <v>357254.22580918955</v>
      </c>
      <c r="H160" s="354">
        <f t="shared" si="72"/>
        <v>292708.59302485787</v>
      </c>
      <c r="I160" s="354">
        <f t="shared" si="72"/>
        <v>294300.5139510621</v>
      </c>
      <c r="J160" s="354">
        <f t="shared" si="72"/>
        <v>288255.48001953197</v>
      </c>
      <c r="K160" s="354">
        <f>SUM(K158:K159)</f>
        <v>288673.1682793738</v>
      </c>
      <c r="L160" s="354">
        <f t="shared" si="72"/>
        <v>332431.8664020438</v>
      </c>
      <c r="M160" s="354">
        <f t="shared" si="72"/>
        <v>389024.6781632032</v>
      </c>
      <c r="N160" s="354">
        <f t="shared" si="72"/>
        <v>517256.18161329156</v>
      </c>
      <c r="O160" s="354">
        <f t="shared" si="71"/>
        <v>4724639.359827975</v>
      </c>
    </row>
    <row r="161" spans="1:15" ht="12.75">
      <c r="A161" s="313" t="s">
        <v>49</v>
      </c>
      <c r="B161" s="313">
        <v>0.128</v>
      </c>
      <c r="C161" s="347">
        <f aca="true" t="shared" si="73" ref="C161:C169">C9*$B161/100</f>
        <v>31389.118994165645</v>
      </c>
      <c r="D161" s="347">
        <f aca="true" t="shared" si="74" ref="D161:N161">D9*$B161/100</f>
        <v>28827.460212643386</v>
      </c>
      <c r="E161" s="347">
        <f t="shared" si="74"/>
        <v>27608.088134971593</v>
      </c>
      <c r="F161" s="347">
        <f t="shared" si="74"/>
        <v>23415.030084827587</v>
      </c>
      <c r="G161" s="347">
        <f t="shared" si="74"/>
        <v>21455.753082186387</v>
      </c>
      <c r="H161" s="347">
        <f t="shared" si="74"/>
        <v>20431.875822640908</v>
      </c>
      <c r="I161" s="347">
        <f t="shared" si="74"/>
        <v>21056.51644912276</v>
      </c>
      <c r="J161" s="347">
        <f t="shared" si="74"/>
        <v>21197.330398991864</v>
      </c>
      <c r="K161" s="347">
        <f t="shared" si="74"/>
        <v>19191.69267416315</v>
      </c>
      <c r="L161" s="347">
        <f t="shared" si="74"/>
        <v>21404.764355314852</v>
      </c>
      <c r="M161" s="347">
        <f t="shared" si="74"/>
        <v>22406.434555370506</v>
      </c>
      <c r="N161" s="347">
        <f t="shared" si="74"/>
        <v>27985.295123824108</v>
      </c>
      <c r="O161" s="347">
        <f t="shared" si="71"/>
        <v>286369.48788822273</v>
      </c>
    </row>
    <row r="162" spans="1:15" ht="12.75">
      <c r="A162" s="313" t="s">
        <v>50</v>
      </c>
      <c r="B162" s="313">
        <v>0.116</v>
      </c>
      <c r="C162" s="347">
        <f t="shared" si="73"/>
        <v>271592.5924912614</v>
      </c>
      <c r="D162" s="347">
        <f aca="true" t="shared" si="75" ref="D162:N162">D10*$B162/100</f>
        <v>254726.00584705413</v>
      </c>
      <c r="E162" s="347">
        <f t="shared" si="75"/>
        <v>261969.63837405894</v>
      </c>
      <c r="F162" s="347">
        <f t="shared" si="75"/>
        <v>226667.4833368743</v>
      </c>
      <c r="G162" s="347">
        <f t="shared" si="75"/>
        <v>213672.4203793002</v>
      </c>
      <c r="H162" s="347">
        <f t="shared" si="75"/>
        <v>216065.82240966876</v>
      </c>
      <c r="I162" s="347">
        <f t="shared" si="75"/>
        <v>233684.55090000108</v>
      </c>
      <c r="J162" s="347">
        <f t="shared" si="75"/>
        <v>227223.65397105445</v>
      </c>
      <c r="K162" s="347">
        <f t="shared" si="75"/>
        <v>210779.81989363243</v>
      </c>
      <c r="L162" s="347">
        <f t="shared" si="75"/>
        <v>220449.27385547213</v>
      </c>
      <c r="M162" s="347">
        <f t="shared" si="75"/>
        <v>230318.0835899389</v>
      </c>
      <c r="N162" s="347">
        <f t="shared" si="75"/>
        <v>262623.3742664909</v>
      </c>
      <c r="O162" s="347">
        <f t="shared" si="71"/>
        <v>2829772.835314807</v>
      </c>
    </row>
    <row r="163" spans="1:15" ht="12.75">
      <c r="A163" s="313" t="s">
        <v>51</v>
      </c>
      <c r="B163" s="313">
        <v>0.11</v>
      </c>
      <c r="C163" s="347">
        <f t="shared" si="73"/>
        <v>36719.74357610253</v>
      </c>
      <c r="D163" s="347">
        <f aca="true" t="shared" si="76" ref="D163:N163">D11*$B163/100</f>
        <v>34030.97989850107</v>
      </c>
      <c r="E163" s="347">
        <f t="shared" si="76"/>
        <v>37138.05939136632</v>
      </c>
      <c r="F163" s="347">
        <f t="shared" si="76"/>
        <v>33897.8019346079</v>
      </c>
      <c r="G163" s="347">
        <f t="shared" si="76"/>
        <v>35077.91361679643</v>
      </c>
      <c r="H163" s="347">
        <f t="shared" si="76"/>
        <v>35498.810769412994</v>
      </c>
      <c r="I163" s="347">
        <f t="shared" si="76"/>
        <v>40838.705218564</v>
      </c>
      <c r="J163" s="347">
        <f t="shared" si="76"/>
        <v>40292.051839323525</v>
      </c>
      <c r="K163" s="347">
        <f t="shared" si="76"/>
        <v>37454.192125211215</v>
      </c>
      <c r="L163" s="347">
        <f t="shared" si="76"/>
        <v>35667.14912206395</v>
      </c>
      <c r="M163" s="347">
        <f t="shared" si="76"/>
        <v>35251.03795933454</v>
      </c>
      <c r="N163" s="347">
        <f t="shared" si="76"/>
        <v>35351.42760247915</v>
      </c>
      <c r="O163" s="347">
        <f t="shared" si="71"/>
        <v>437217.98305376363</v>
      </c>
    </row>
    <row r="164" spans="1:15" ht="12.75">
      <c r="A164" s="313" t="s">
        <v>52</v>
      </c>
      <c r="B164" s="313">
        <v>0.116</v>
      </c>
      <c r="C164" s="347">
        <f t="shared" si="73"/>
        <v>26115.960585320307</v>
      </c>
      <c r="D164" s="347">
        <f aca="true" t="shared" si="77" ref="D164:N164">D12*$B164/100</f>
        <v>25037.10813368448</v>
      </c>
      <c r="E164" s="347">
        <f t="shared" si="77"/>
        <v>25111.46091911025</v>
      </c>
      <c r="F164" s="347">
        <f t="shared" si="77"/>
        <v>23957.402357816485</v>
      </c>
      <c r="G164" s="347">
        <f t="shared" si="77"/>
        <v>24146.259420624723</v>
      </c>
      <c r="H164" s="347">
        <f t="shared" si="77"/>
        <v>25207.106554176677</v>
      </c>
      <c r="I164" s="347">
        <f t="shared" si="77"/>
        <v>25623.479881303305</v>
      </c>
      <c r="J164" s="347">
        <f t="shared" si="77"/>
        <v>25575.315032627368</v>
      </c>
      <c r="K164" s="347">
        <f t="shared" si="77"/>
        <v>23906.416189397998</v>
      </c>
      <c r="L164" s="347">
        <f t="shared" si="77"/>
        <v>22017.913113795483</v>
      </c>
      <c r="M164" s="347">
        <f t="shared" si="77"/>
        <v>24149.46603385629</v>
      </c>
      <c r="N164" s="347">
        <f t="shared" si="77"/>
        <v>28005.731136314636</v>
      </c>
      <c r="O164" s="347">
        <f t="shared" si="71"/>
        <v>298853.73535802803</v>
      </c>
    </row>
    <row r="165" spans="1:15" ht="12.75">
      <c r="A165" s="313" t="s">
        <v>53</v>
      </c>
      <c r="B165" s="313">
        <v>0.124</v>
      </c>
      <c r="C165" s="347">
        <f t="shared" si="73"/>
        <v>53981.54105721781</v>
      </c>
      <c r="D165" s="347">
        <f aca="true" t="shared" si="78" ref="D165:N165">D13*$B165/100</f>
        <v>48707.85352842766</v>
      </c>
      <c r="E165" s="347">
        <f t="shared" si="78"/>
        <v>51979.61266057835</v>
      </c>
      <c r="F165" s="347">
        <f t="shared" si="78"/>
        <v>51799.494891418246</v>
      </c>
      <c r="G165" s="347">
        <f t="shared" si="78"/>
        <v>51183.606381589954</v>
      </c>
      <c r="H165" s="347">
        <f t="shared" si="78"/>
        <v>53583.66952203771</v>
      </c>
      <c r="I165" s="347">
        <f t="shared" si="78"/>
        <v>53534.43075671847</v>
      </c>
      <c r="J165" s="347">
        <f t="shared" si="78"/>
        <v>53592.275416118</v>
      </c>
      <c r="K165" s="347">
        <f t="shared" si="78"/>
        <v>52199.12591618908</v>
      </c>
      <c r="L165" s="347">
        <f t="shared" si="78"/>
        <v>52633.14280144943</v>
      </c>
      <c r="M165" s="347">
        <f t="shared" si="78"/>
        <v>51545.25463328337</v>
      </c>
      <c r="N165" s="347">
        <f t="shared" si="78"/>
        <v>52508.06352264571</v>
      </c>
      <c r="O165" s="347">
        <f t="shared" si="71"/>
        <v>627248.1950876737</v>
      </c>
    </row>
    <row r="166" spans="1:15" ht="12.75">
      <c r="A166" s="313" t="s">
        <v>54</v>
      </c>
      <c r="B166" s="313">
        <v>0.099</v>
      </c>
      <c r="C166" s="347">
        <f t="shared" si="73"/>
        <v>75977.67394019845</v>
      </c>
      <c r="D166" s="347">
        <f aca="true" t="shared" si="79" ref="D166:N166">D14*$B166/100</f>
        <v>70889.46061632312</v>
      </c>
      <c r="E166" s="347">
        <f t="shared" si="79"/>
        <v>76384.65190606203</v>
      </c>
      <c r="F166" s="347">
        <f t="shared" si="79"/>
        <v>74714.73680021177</v>
      </c>
      <c r="G166" s="347">
        <f t="shared" si="79"/>
        <v>75349.06213694712</v>
      </c>
      <c r="H166" s="347">
        <f t="shared" si="79"/>
        <v>75246.41498082959</v>
      </c>
      <c r="I166" s="347">
        <f t="shared" si="79"/>
        <v>77802.29695528434</v>
      </c>
      <c r="J166" s="347">
        <f t="shared" si="79"/>
        <v>86224.43922545701</v>
      </c>
      <c r="K166" s="347">
        <f t="shared" si="79"/>
        <v>80619.48440048896</v>
      </c>
      <c r="L166" s="347">
        <f t="shared" si="79"/>
        <v>81153.21757209033</v>
      </c>
      <c r="M166" s="347">
        <f t="shared" si="79"/>
        <v>78365.5651684072</v>
      </c>
      <c r="N166" s="347">
        <f t="shared" si="79"/>
        <v>74206.22885224543</v>
      </c>
      <c r="O166" s="347">
        <f t="shared" si="71"/>
        <v>926933.3315545453</v>
      </c>
    </row>
    <row r="167" spans="1:15" ht="12.75">
      <c r="A167" s="313" t="s">
        <v>58</v>
      </c>
      <c r="B167" s="313">
        <v>0.111</v>
      </c>
      <c r="C167" s="347">
        <f t="shared" si="73"/>
        <v>41496.80832</v>
      </c>
      <c r="D167" s="347">
        <f aca="true" t="shared" si="80" ref="D167:N167">D15*$B167/100</f>
        <v>38819.59488</v>
      </c>
      <c r="E167" s="347">
        <f t="shared" si="80"/>
        <v>41496.80832</v>
      </c>
      <c r="F167" s="347">
        <f t="shared" si="80"/>
        <v>40158.20160000001</v>
      </c>
      <c r="G167" s="347">
        <f t="shared" si="80"/>
        <v>41496.80832</v>
      </c>
      <c r="H167" s="347">
        <f t="shared" si="80"/>
        <v>40158.20160000001</v>
      </c>
      <c r="I167" s="347">
        <f t="shared" si="80"/>
        <v>41496.80832</v>
      </c>
      <c r="J167" s="347">
        <f t="shared" si="80"/>
        <v>41496.80832</v>
      </c>
      <c r="K167" s="347">
        <f t="shared" si="80"/>
        <v>40158.20160000001</v>
      </c>
      <c r="L167" s="347">
        <f t="shared" si="80"/>
        <v>41496.80832</v>
      </c>
      <c r="M167" s="347">
        <f t="shared" si="80"/>
        <v>40158.20160000001</v>
      </c>
      <c r="N167" s="347">
        <f t="shared" si="80"/>
        <v>41496.80832</v>
      </c>
      <c r="O167" s="347">
        <f t="shared" si="71"/>
        <v>489930.17052000004</v>
      </c>
    </row>
    <row r="168" spans="1:15" ht="12.75">
      <c r="A168" s="313" t="s">
        <v>55</v>
      </c>
      <c r="B168" s="313">
        <v>0.105</v>
      </c>
      <c r="C168" s="347">
        <f t="shared" si="73"/>
        <v>21244.78224407404</v>
      </c>
      <c r="D168" s="347">
        <f aca="true" t="shared" si="81" ref="D168:N168">D16*$B168/100</f>
        <v>20192.15587348857</v>
      </c>
      <c r="E168" s="347">
        <f t="shared" si="81"/>
        <v>20183.908385438797</v>
      </c>
      <c r="F168" s="347">
        <f t="shared" si="81"/>
        <v>16473.09951895361</v>
      </c>
      <c r="G168" s="347">
        <f t="shared" si="81"/>
        <v>14771.50351212789</v>
      </c>
      <c r="H168" s="347">
        <f t="shared" si="81"/>
        <v>13608.54358164261</v>
      </c>
      <c r="I168" s="347">
        <f t="shared" si="81"/>
        <v>14997.901638770387</v>
      </c>
      <c r="J168" s="347">
        <f t="shared" si="81"/>
        <v>14788.176790288924</v>
      </c>
      <c r="K168" s="347">
        <f t="shared" si="81"/>
        <v>14449.398395551045</v>
      </c>
      <c r="L168" s="347">
        <f t="shared" si="81"/>
        <v>15560.501736070462</v>
      </c>
      <c r="M168" s="347">
        <f t="shared" si="81"/>
        <v>17392.634697171034</v>
      </c>
      <c r="N168" s="347">
        <f t="shared" si="81"/>
        <v>20606.364487195384</v>
      </c>
      <c r="O168" s="347">
        <f t="shared" si="71"/>
        <v>204269.07586077275</v>
      </c>
    </row>
    <row r="169" spans="1:15" ht="12.75">
      <c r="A169" s="313" t="s">
        <v>56</v>
      </c>
      <c r="B169" s="313">
        <v>0.125</v>
      </c>
      <c r="C169" s="347">
        <f t="shared" si="73"/>
        <v>11788.335458050073</v>
      </c>
      <c r="D169" s="347">
        <f aca="true" t="shared" si="82" ref="D169:N169">D17*$B169/100</f>
        <v>11226.283158820172</v>
      </c>
      <c r="E169" s="347">
        <f t="shared" si="82"/>
        <v>11768.917844273641</v>
      </c>
      <c r="F169" s="347">
        <f t="shared" si="82"/>
        <v>11354.221037018926</v>
      </c>
      <c r="G169" s="347">
        <f t="shared" si="82"/>
        <v>12030.79018268225</v>
      </c>
      <c r="H169" s="347">
        <f t="shared" si="82"/>
        <v>11451.178755455157</v>
      </c>
      <c r="I169" s="347">
        <f t="shared" si="82"/>
        <v>11255.651956723268</v>
      </c>
      <c r="J169" s="347">
        <f t="shared" si="82"/>
        <v>11669.960421457206</v>
      </c>
      <c r="K169" s="347">
        <f t="shared" si="82"/>
        <v>11787.892154136998</v>
      </c>
      <c r="L169" s="347">
        <f t="shared" si="82"/>
        <v>11506.606792608036</v>
      </c>
      <c r="M169" s="347">
        <f t="shared" si="82"/>
        <v>12217.199431553372</v>
      </c>
      <c r="N169" s="347">
        <f t="shared" si="82"/>
        <v>12293.769179344801</v>
      </c>
      <c r="O169" s="349">
        <f t="shared" si="71"/>
        <v>140350.93137212386</v>
      </c>
    </row>
    <row r="170" spans="1:15" ht="12.75">
      <c r="A170" s="313" t="s">
        <v>60</v>
      </c>
      <c r="C170" s="343">
        <f>SUM(C160:C169)</f>
        <v>1142970.2719978227</v>
      </c>
      <c r="D170" s="343">
        <f aca="true" t="shared" si="83" ref="D170:N170">SUM(D160:D169)</f>
        <v>1029305.7140081379</v>
      </c>
      <c r="E170" s="343">
        <f t="shared" si="83"/>
        <v>1051120.9255430747</v>
      </c>
      <c r="F170" s="343">
        <f t="shared" si="83"/>
        <v>900179.7063293062</v>
      </c>
      <c r="G170" s="343">
        <f t="shared" si="83"/>
        <v>846438.3428414445</v>
      </c>
      <c r="H170" s="343">
        <f t="shared" si="83"/>
        <v>783960.2170207222</v>
      </c>
      <c r="I170" s="343">
        <f t="shared" si="83"/>
        <v>814590.8560275497</v>
      </c>
      <c r="J170" s="343">
        <f t="shared" si="83"/>
        <v>810315.4914348501</v>
      </c>
      <c r="K170" s="343">
        <f t="shared" si="83"/>
        <v>779219.3916281448</v>
      </c>
      <c r="L170" s="343">
        <f t="shared" si="83"/>
        <v>834321.2440709084</v>
      </c>
      <c r="M170" s="343">
        <f t="shared" si="83"/>
        <v>900828.5558321184</v>
      </c>
      <c r="N170" s="343">
        <f t="shared" si="83"/>
        <v>1072333.2441038317</v>
      </c>
      <c r="O170" s="343">
        <f t="shared" si="71"/>
        <v>10965583.960837912</v>
      </c>
    </row>
    <row r="171" spans="3:15" ht="12.75">
      <c r="C171" s="347"/>
      <c r="D171" s="347"/>
      <c r="E171" s="347"/>
      <c r="F171" s="347"/>
      <c r="G171" s="347"/>
      <c r="H171" s="347"/>
      <c r="I171" s="347"/>
      <c r="J171" s="347"/>
      <c r="K171" s="347"/>
      <c r="L171" s="347"/>
      <c r="M171" s="347"/>
      <c r="N171" s="347"/>
      <c r="O171" s="347"/>
    </row>
    <row r="172" spans="1:15" ht="12.75">
      <c r="A172" s="313" t="s">
        <v>100</v>
      </c>
      <c r="C172" s="347"/>
      <c r="D172" s="347"/>
      <c r="E172" s="347"/>
      <c r="F172" s="347"/>
      <c r="G172" s="347"/>
      <c r="H172" s="347"/>
      <c r="I172" s="347"/>
      <c r="J172" s="347"/>
      <c r="K172" s="347"/>
      <c r="L172" s="347"/>
      <c r="M172" s="347"/>
      <c r="N172" s="347"/>
      <c r="O172" s="347"/>
    </row>
    <row r="173" spans="1:15" ht="12.75">
      <c r="A173" s="313" t="s">
        <v>83</v>
      </c>
      <c r="B173" s="313">
        <v>0.08</v>
      </c>
      <c r="C173" s="347">
        <f aca="true" t="shared" si="84" ref="C173:N173">C21*$B173/100</f>
        <v>12398.4</v>
      </c>
      <c r="D173" s="347">
        <f t="shared" si="84"/>
        <v>10785.6</v>
      </c>
      <c r="E173" s="347">
        <f t="shared" si="84"/>
        <v>12398.4</v>
      </c>
      <c r="F173" s="347">
        <f t="shared" si="84"/>
        <v>11592</v>
      </c>
      <c r="G173" s="347">
        <f t="shared" si="84"/>
        <v>12398.4</v>
      </c>
      <c r="H173" s="347">
        <f t="shared" si="84"/>
        <v>11592</v>
      </c>
      <c r="I173" s="347">
        <f t="shared" si="84"/>
        <v>12398.4</v>
      </c>
      <c r="J173" s="347">
        <f t="shared" si="84"/>
        <v>12398.4</v>
      </c>
      <c r="K173" s="347">
        <f t="shared" si="84"/>
        <v>11592</v>
      </c>
      <c r="L173" s="347">
        <f t="shared" si="84"/>
        <v>12398.4</v>
      </c>
      <c r="M173" s="347">
        <f t="shared" si="84"/>
        <v>11592</v>
      </c>
      <c r="N173" s="347">
        <f t="shared" si="84"/>
        <v>12398.4</v>
      </c>
      <c r="O173" s="347">
        <f>SUM(B173:N173)</f>
        <v>143942.47999999998</v>
      </c>
    </row>
    <row r="174" spans="1:15" ht="12.75">
      <c r="A174" s="313" t="s">
        <v>116</v>
      </c>
      <c r="B174" s="313">
        <v>0.08</v>
      </c>
      <c r="C174" s="347">
        <f>C24*$B174/100</f>
        <v>0</v>
      </c>
      <c r="D174" s="347">
        <f aca="true" t="shared" si="85" ref="D174:N174">D24*$B174/100</f>
        <v>0</v>
      </c>
      <c r="E174" s="347">
        <f t="shared" si="85"/>
        <v>0</v>
      </c>
      <c r="F174" s="347">
        <f t="shared" si="85"/>
        <v>0</v>
      </c>
      <c r="G174" s="347">
        <f t="shared" si="85"/>
        <v>0</v>
      </c>
      <c r="H174" s="347">
        <f t="shared" si="85"/>
        <v>0</v>
      </c>
      <c r="I174" s="347">
        <f t="shared" si="85"/>
        <v>0</v>
      </c>
      <c r="J174" s="347">
        <f t="shared" si="85"/>
        <v>0</v>
      </c>
      <c r="K174" s="347">
        <f t="shared" si="85"/>
        <v>0</v>
      </c>
      <c r="L174" s="347">
        <f t="shared" si="85"/>
        <v>0</v>
      </c>
      <c r="M174" s="347">
        <f t="shared" si="85"/>
        <v>0</v>
      </c>
      <c r="N174" s="347">
        <f t="shared" si="85"/>
        <v>0</v>
      </c>
      <c r="O174" s="349">
        <f>SUM(B174:N174)</f>
        <v>0.08</v>
      </c>
    </row>
    <row r="175" spans="1:15" ht="12.75">
      <c r="A175" s="313" t="s">
        <v>118</v>
      </c>
      <c r="C175" s="343">
        <f>SUM(C173:C174)</f>
        <v>12398.4</v>
      </c>
      <c r="D175" s="343">
        <f aca="true" t="shared" si="86" ref="D175:N175">SUM(D173:D174)</f>
        <v>10785.6</v>
      </c>
      <c r="E175" s="343">
        <f t="shared" si="86"/>
        <v>12398.4</v>
      </c>
      <c r="F175" s="343">
        <f t="shared" si="86"/>
        <v>11592</v>
      </c>
      <c r="G175" s="343">
        <f t="shared" si="86"/>
        <v>12398.4</v>
      </c>
      <c r="H175" s="343">
        <f t="shared" si="86"/>
        <v>11592</v>
      </c>
      <c r="I175" s="343">
        <f t="shared" si="86"/>
        <v>12398.4</v>
      </c>
      <c r="J175" s="343">
        <f t="shared" si="86"/>
        <v>12398.4</v>
      </c>
      <c r="K175" s="343">
        <f t="shared" si="86"/>
        <v>11592</v>
      </c>
      <c r="L175" s="343">
        <f t="shared" si="86"/>
        <v>12398.4</v>
      </c>
      <c r="M175" s="343">
        <f t="shared" si="86"/>
        <v>11592</v>
      </c>
      <c r="N175" s="343">
        <f t="shared" si="86"/>
        <v>12398.4</v>
      </c>
      <c r="O175" s="343">
        <f>SUM(O173:O174)</f>
        <v>143942.55999999997</v>
      </c>
    </row>
    <row r="176" spans="3:15" ht="12.75">
      <c r="C176" s="347"/>
      <c r="D176" s="347"/>
      <c r="E176" s="347"/>
      <c r="F176" s="347"/>
      <c r="G176" s="347"/>
      <c r="H176" s="347"/>
      <c r="I176" s="347"/>
      <c r="J176" s="347"/>
      <c r="K176" s="347"/>
      <c r="L176" s="347"/>
      <c r="M176" s="347"/>
      <c r="N176" s="347"/>
      <c r="O176" s="347"/>
    </row>
    <row r="177" spans="1:15" ht="12.75">
      <c r="A177" s="313" t="s">
        <v>47</v>
      </c>
      <c r="C177" s="343">
        <f aca="true" t="shared" si="87" ref="C177:N177">C175+C170</f>
        <v>1155368.6719978226</v>
      </c>
      <c r="D177" s="343">
        <f t="shared" si="87"/>
        <v>1040091.3140081379</v>
      </c>
      <c r="E177" s="343">
        <f t="shared" si="87"/>
        <v>1063519.3255430746</v>
      </c>
      <c r="F177" s="343">
        <f t="shared" si="87"/>
        <v>911771.7063293062</v>
      </c>
      <c r="G177" s="343">
        <f t="shared" si="87"/>
        <v>858836.7428414446</v>
      </c>
      <c r="H177" s="343">
        <f t="shared" si="87"/>
        <v>795552.2170207222</v>
      </c>
      <c r="I177" s="343">
        <f t="shared" si="87"/>
        <v>826989.2560275497</v>
      </c>
      <c r="J177" s="343">
        <f t="shared" si="87"/>
        <v>822713.8914348502</v>
      </c>
      <c r="K177" s="343">
        <f t="shared" si="87"/>
        <v>790811.3916281448</v>
      </c>
      <c r="L177" s="343">
        <f t="shared" si="87"/>
        <v>846719.6440709084</v>
      </c>
      <c r="M177" s="343">
        <f t="shared" si="87"/>
        <v>912420.5558321184</v>
      </c>
      <c r="N177" s="343">
        <f t="shared" si="87"/>
        <v>1084731.6441038316</v>
      </c>
      <c r="O177" s="343">
        <f>SUM(C177:N177)</f>
        <v>11109526.36083791</v>
      </c>
    </row>
    <row r="179" ht="12.75">
      <c r="A179" s="317" t="s">
        <v>117</v>
      </c>
    </row>
    <row r="181" ht="12.75">
      <c r="A181" s="313" t="s">
        <v>41</v>
      </c>
    </row>
    <row r="182" spans="1:15" ht="12.75">
      <c r="A182" s="313" t="s">
        <v>105</v>
      </c>
      <c r="C182" s="351">
        <f>C137-C160</f>
        <v>239.82303608115762</v>
      </c>
      <c r="D182" s="351">
        <f aca="true" t="shared" si="88" ref="D182:N182">D137-D160</f>
        <v>25760.741839195718</v>
      </c>
      <c r="E182" s="351">
        <f t="shared" si="88"/>
        <v>11039.856332116062</v>
      </c>
      <c r="F182" s="351">
        <f t="shared" si="88"/>
        <v>3949.053939182544</v>
      </c>
      <c r="G182" s="351">
        <f t="shared" si="88"/>
        <v>10720.899321011617</v>
      </c>
      <c r="H182" s="351">
        <f t="shared" si="88"/>
        <v>8674.20324184862</v>
      </c>
      <c r="I182" s="351">
        <f t="shared" si="88"/>
        <v>-2270.306312684843</v>
      </c>
      <c r="J182" s="337">
        <f t="shared" si="88"/>
        <v>4240.574711422552</v>
      </c>
      <c r="K182" s="337">
        <f t="shared" si="88"/>
        <v>6091.002636820835</v>
      </c>
      <c r="L182" s="316">
        <f t="shared" si="88"/>
        <v>-2761.8588965861127</v>
      </c>
      <c r="M182" s="316">
        <f t="shared" si="88"/>
        <v>-1728.8634003537009</v>
      </c>
      <c r="N182" s="316">
        <f t="shared" si="88"/>
        <v>-43751.045989812235</v>
      </c>
      <c r="O182" s="337">
        <f>SUM(C182:N182)</f>
        <v>20204.080458242213</v>
      </c>
    </row>
    <row r="183" spans="1:15" ht="12.75">
      <c r="A183" s="313" t="s">
        <v>49</v>
      </c>
      <c r="C183" s="351">
        <f aca="true" t="shared" si="89" ref="C183:N183">C138-C161</f>
        <v>680.3070411967165</v>
      </c>
      <c r="D183" s="351">
        <f t="shared" si="89"/>
        <v>1825.0952131893173</v>
      </c>
      <c r="E183" s="351">
        <f t="shared" si="89"/>
        <v>4108.171340601941</v>
      </c>
      <c r="F183" s="351">
        <f t="shared" si="89"/>
        <v>1767.214368223249</v>
      </c>
      <c r="G183" s="351">
        <f t="shared" si="89"/>
        <v>3767.240735316267</v>
      </c>
      <c r="H183" s="351">
        <f t="shared" si="89"/>
        <v>1294.524425861313</v>
      </c>
      <c r="I183" s="351">
        <f t="shared" si="89"/>
        <v>1305.3988774921127</v>
      </c>
      <c r="J183" s="337">
        <f t="shared" si="89"/>
        <v>1018.1475382858953</v>
      </c>
      <c r="K183" s="337">
        <f t="shared" si="89"/>
        <v>3436.5136133394844</v>
      </c>
      <c r="L183" s="337">
        <f t="shared" si="89"/>
        <v>1732.441195186002</v>
      </c>
      <c r="M183" s="337">
        <f t="shared" si="89"/>
        <v>214.40274463933747</v>
      </c>
      <c r="N183" s="316">
        <f t="shared" si="89"/>
        <v>-1882.7220562457624</v>
      </c>
      <c r="O183" s="337">
        <f aca="true" t="shared" si="90" ref="O183:O192">SUM(C183:N183)</f>
        <v>19266.735037085873</v>
      </c>
    </row>
    <row r="184" spans="1:15" ht="12.75">
      <c r="A184" s="313" t="s">
        <v>50</v>
      </c>
      <c r="C184" s="351">
        <f aca="true" t="shared" si="91" ref="C184:N184">C139-C162</f>
        <v>6319.556873744295</v>
      </c>
      <c r="D184" s="351">
        <f t="shared" si="91"/>
        <v>9021.652270157938</v>
      </c>
      <c r="E184" s="351">
        <f t="shared" si="91"/>
        <v>2724.453608403506</v>
      </c>
      <c r="F184" s="351">
        <f t="shared" si="91"/>
        <v>-1722.3732480534527</v>
      </c>
      <c r="G184" s="351">
        <f t="shared" si="91"/>
        <v>6855.026519634732</v>
      </c>
      <c r="H184" s="351">
        <f t="shared" si="91"/>
        <v>3481.903937467985</v>
      </c>
      <c r="I184" s="351">
        <f t="shared" si="91"/>
        <v>-6515.6243495241215</v>
      </c>
      <c r="J184" s="316">
        <f t="shared" si="91"/>
        <v>-6141.156478719902</v>
      </c>
      <c r="K184" s="337">
        <f t="shared" si="91"/>
        <v>837.5204979777045</v>
      </c>
      <c r="L184" s="337">
        <f t="shared" si="91"/>
        <v>8272.093935929035</v>
      </c>
      <c r="M184" s="316">
        <f t="shared" si="91"/>
        <v>-3280.0940457845863</v>
      </c>
      <c r="N184" s="316">
        <f t="shared" si="91"/>
        <v>-9959.08644070616</v>
      </c>
      <c r="O184" s="337">
        <f t="shared" si="90"/>
        <v>9893.873080526973</v>
      </c>
    </row>
    <row r="185" spans="1:15" ht="12.75">
      <c r="A185" s="313" t="s">
        <v>51</v>
      </c>
      <c r="C185" s="351">
        <f aca="true" t="shared" si="92" ref="C185:N185">C140-C163</f>
        <v>1886.4691238974629</v>
      </c>
      <c r="D185" s="351">
        <f t="shared" si="92"/>
        <v>-175.73539850107045</v>
      </c>
      <c r="E185" s="351">
        <f t="shared" si="92"/>
        <v>3809.2052086336917</v>
      </c>
      <c r="F185" s="351">
        <f t="shared" si="92"/>
        <v>1746.8730653921084</v>
      </c>
      <c r="G185" s="351">
        <f t="shared" si="92"/>
        <v>1777.6226832035754</v>
      </c>
      <c r="H185" s="351">
        <f t="shared" si="92"/>
        <v>954.98573058701</v>
      </c>
      <c r="I185" s="351">
        <f t="shared" si="92"/>
        <v>927.5907814360035</v>
      </c>
      <c r="J185" s="337">
        <f t="shared" si="92"/>
        <v>1930.1490606764783</v>
      </c>
      <c r="K185" s="337">
        <f t="shared" si="92"/>
        <v>1938.2323747887858</v>
      </c>
      <c r="L185" s="337">
        <f t="shared" si="92"/>
        <v>2660.329077936047</v>
      </c>
      <c r="M185" s="337">
        <f t="shared" si="92"/>
        <v>567.551440665462</v>
      </c>
      <c r="N185" s="337">
        <f t="shared" si="92"/>
        <v>1140.9799975208516</v>
      </c>
      <c r="O185" s="337">
        <f t="shared" si="90"/>
        <v>19164.253146236406</v>
      </c>
    </row>
    <row r="186" spans="1:15" ht="12.75">
      <c r="A186" s="313" t="s">
        <v>52</v>
      </c>
      <c r="C186" s="351">
        <f aca="true" t="shared" si="93" ref="C186:N186">C141-C164</f>
        <v>1598.9090389323173</v>
      </c>
      <c r="D186" s="351">
        <f t="shared" si="93"/>
        <v>700.3767744707693</v>
      </c>
      <c r="E186" s="351">
        <f t="shared" si="93"/>
        <v>2523.2394578818457</v>
      </c>
      <c r="F186" s="351">
        <f t="shared" si="93"/>
        <v>-492.95346239440914</v>
      </c>
      <c r="G186" s="351">
        <f t="shared" si="93"/>
        <v>14.047569148548064</v>
      </c>
      <c r="H186" s="351">
        <f t="shared" si="93"/>
        <v>-1696.3632990467377</v>
      </c>
      <c r="I186" s="351">
        <f t="shared" si="93"/>
        <v>1137.2209985202317</v>
      </c>
      <c r="J186" s="316">
        <f t="shared" si="93"/>
        <v>-3646.120750632399</v>
      </c>
      <c r="K186" s="337">
        <f t="shared" si="93"/>
        <v>731.1039192875978</v>
      </c>
      <c r="L186" s="316">
        <f t="shared" si="93"/>
        <v>-2751.621282289463</v>
      </c>
      <c r="M186" s="337">
        <f t="shared" si="93"/>
        <v>518.4813812880238</v>
      </c>
      <c r="N186" s="316">
        <f t="shared" si="93"/>
        <v>-3079.640369232544</v>
      </c>
      <c r="O186" s="316">
        <f t="shared" si="90"/>
        <v>-4443.320024066219</v>
      </c>
    </row>
    <row r="187" spans="1:15" ht="12.75">
      <c r="A187" s="313" t="s">
        <v>53</v>
      </c>
      <c r="C187" s="351">
        <f aca="true" t="shared" si="94" ref="C187:N187">C142-C165</f>
        <v>-7681.5910426662085</v>
      </c>
      <c r="D187" s="351">
        <f t="shared" si="94"/>
        <v>-632.2034829077456</v>
      </c>
      <c r="E187" s="351">
        <f t="shared" si="94"/>
        <v>1827.8214440443335</v>
      </c>
      <c r="F187" s="351">
        <f t="shared" si="94"/>
        <v>554.388211263089</v>
      </c>
      <c r="G187" s="351">
        <f t="shared" si="94"/>
        <v>-3739.284987680505</v>
      </c>
      <c r="H187" s="351">
        <f t="shared" si="94"/>
        <v>-2002.214388529581</v>
      </c>
      <c r="I187" s="351">
        <f t="shared" si="94"/>
        <v>-2193.7710376656178</v>
      </c>
      <c r="J187" s="316">
        <f t="shared" si="94"/>
        <v>-3961.0882457834887</v>
      </c>
      <c r="K187" s="337">
        <f t="shared" si="94"/>
        <v>1236.6716826515112</v>
      </c>
      <c r="L187" s="316">
        <f t="shared" si="94"/>
        <v>-807.348980718205</v>
      </c>
      <c r="M187" s="337">
        <f t="shared" si="94"/>
        <v>893.0267969346241</v>
      </c>
      <c r="N187" s="316">
        <f t="shared" si="94"/>
        <v>-737.6835402461511</v>
      </c>
      <c r="O187" s="316">
        <f t="shared" si="90"/>
        <v>-17243.277571303945</v>
      </c>
    </row>
    <row r="188" spans="1:15" ht="12.75">
      <c r="A188" s="313" t="s">
        <v>54</v>
      </c>
      <c r="C188" s="351">
        <f aca="true" t="shared" si="95" ref="C188:N188">C143-C166</f>
        <v>661.7598054015398</v>
      </c>
      <c r="D188" s="351">
        <f t="shared" si="95"/>
        <v>1157.9553868768708</v>
      </c>
      <c r="E188" s="351">
        <f t="shared" si="95"/>
        <v>377.9776870379428</v>
      </c>
      <c r="F188" s="351">
        <f t="shared" si="95"/>
        <v>141.84851538823568</v>
      </c>
      <c r="G188" s="351">
        <f t="shared" si="95"/>
        <v>532.9201930528652</v>
      </c>
      <c r="H188" s="351">
        <f t="shared" si="95"/>
        <v>1431.6037969704048</v>
      </c>
      <c r="I188" s="351">
        <f t="shared" si="95"/>
        <v>-1560.384384284349</v>
      </c>
      <c r="J188" s="316">
        <f t="shared" si="95"/>
        <v>-7619.052510657013</v>
      </c>
      <c r="K188" s="316">
        <f t="shared" si="95"/>
        <v>-591.0097413889598</v>
      </c>
      <c r="L188" s="316">
        <f t="shared" si="95"/>
        <v>-4437.641075190331</v>
      </c>
      <c r="M188" s="316">
        <f t="shared" si="95"/>
        <v>-1818.2051551072072</v>
      </c>
      <c r="N188" s="316">
        <f t="shared" si="95"/>
        <v>-9123.746573145414</v>
      </c>
      <c r="O188" s="316">
        <f t="shared" si="90"/>
        <v>-20845.974055045415</v>
      </c>
    </row>
    <row r="189" spans="1:15" ht="12.75">
      <c r="A189" s="313" t="s">
        <v>58</v>
      </c>
      <c r="C189" s="351">
        <f aca="true" t="shared" si="96" ref="C189:N189">C144-C167</f>
        <v>137296.23411000002</v>
      </c>
      <c r="D189" s="351">
        <f t="shared" si="96"/>
        <v>122226.68763000003</v>
      </c>
      <c r="E189" s="351">
        <f t="shared" si="96"/>
        <v>135705.95154000004</v>
      </c>
      <c r="F189" s="351">
        <f t="shared" si="96"/>
        <v>133066.80000000002</v>
      </c>
      <c r="G189" s="351">
        <f t="shared" si="96"/>
        <v>137498.33514000004</v>
      </c>
      <c r="H189" s="351">
        <f t="shared" si="96"/>
        <v>130917.92436000003</v>
      </c>
      <c r="I189" s="351">
        <f t="shared" si="96"/>
        <v>136905.84600000002</v>
      </c>
      <c r="J189" s="337">
        <f t="shared" si="96"/>
        <v>136651.98789000005</v>
      </c>
      <c r="K189" s="337">
        <f t="shared" si="96"/>
        <v>58269.70974000001</v>
      </c>
      <c r="L189" s="316">
        <f t="shared" si="96"/>
        <v>-12736.803779999995</v>
      </c>
      <c r="M189" s="316">
        <f t="shared" si="96"/>
        <v>-17488.795920000004</v>
      </c>
      <c r="N189" s="316">
        <f t="shared" si="96"/>
        <v>-20664.540329999996</v>
      </c>
      <c r="O189" s="337">
        <f t="shared" si="90"/>
        <v>1077649.3363800005</v>
      </c>
    </row>
    <row r="190" spans="1:15" ht="12.75">
      <c r="A190" s="313" t="s">
        <v>55</v>
      </c>
      <c r="C190" s="351">
        <f aca="true" t="shared" si="97" ref="C190:N190">C145-C168</f>
        <v>197.33705592596016</v>
      </c>
      <c r="D190" s="351">
        <f t="shared" si="97"/>
        <v>65.22847651142729</v>
      </c>
      <c r="E190" s="351">
        <f t="shared" si="97"/>
        <v>163.6730645612006</v>
      </c>
      <c r="F190" s="351">
        <f t="shared" si="97"/>
        <v>82.31663104638574</v>
      </c>
      <c r="G190" s="351">
        <f t="shared" si="97"/>
        <v>-8.07511212789177</v>
      </c>
      <c r="H190" s="351">
        <f t="shared" si="97"/>
        <v>-326.0131316426141</v>
      </c>
      <c r="I190" s="351">
        <f t="shared" si="97"/>
        <v>-709.9048387703879</v>
      </c>
      <c r="J190" s="316">
        <f t="shared" si="97"/>
        <v>-545.5788402889248</v>
      </c>
      <c r="K190" s="316">
        <f t="shared" si="97"/>
        <v>-528.4059955510456</v>
      </c>
      <c r="L190" s="337">
        <f t="shared" si="97"/>
        <v>459.16871392953726</v>
      </c>
      <c r="M190" s="316">
        <f t="shared" si="97"/>
        <v>-785.3065471710361</v>
      </c>
      <c r="N190" s="316">
        <f t="shared" si="97"/>
        <v>-1419.8079371953827</v>
      </c>
      <c r="O190" s="316">
        <f t="shared" si="90"/>
        <v>-3355.368460772772</v>
      </c>
    </row>
    <row r="191" spans="1:15" ht="12.75">
      <c r="A191" s="313" t="s">
        <v>56</v>
      </c>
      <c r="C191" s="351">
        <f aca="true" t="shared" si="98" ref="C191:N191">C146-C169</f>
        <v>-711.1451543562598</v>
      </c>
      <c r="D191" s="351">
        <f t="shared" si="98"/>
        <v>-80.09798092640631</v>
      </c>
      <c r="E191" s="351">
        <f t="shared" si="98"/>
        <v>639.4817055181084</v>
      </c>
      <c r="F191" s="351">
        <f t="shared" si="98"/>
        <v>177.15225928257678</v>
      </c>
      <c r="G191" s="351">
        <f t="shared" si="98"/>
        <v>352.95806167196133</v>
      </c>
      <c r="H191" s="351">
        <f t="shared" si="98"/>
        <v>-261.9285971487079</v>
      </c>
      <c r="I191" s="351">
        <f t="shared" si="98"/>
        <v>415.9090901604686</v>
      </c>
      <c r="J191" s="337">
        <f t="shared" si="98"/>
        <v>246.96431107966055</v>
      </c>
      <c r="K191" s="337">
        <f t="shared" si="98"/>
        <v>556.7494425221485</v>
      </c>
      <c r="L191" s="337">
        <f t="shared" si="98"/>
        <v>104.72624287056351</v>
      </c>
      <c r="M191" s="337">
        <f t="shared" si="98"/>
        <v>580.7686541610783</v>
      </c>
      <c r="N191" s="316">
        <f t="shared" si="98"/>
        <v>-1191.8590513725649</v>
      </c>
      <c r="O191" s="337">
        <f t="shared" si="90"/>
        <v>829.678983462627</v>
      </c>
    </row>
    <row r="192" spans="1:15" ht="12.75">
      <c r="A192" s="313" t="s">
        <v>60</v>
      </c>
      <c r="C192" s="351">
        <f>SUM(C182:C191)</f>
        <v>140487.65988815698</v>
      </c>
      <c r="D192" s="351">
        <f aca="true" t="shared" si="99" ref="D192:N192">SUM(D182:D191)</f>
        <v>159869.70072806685</v>
      </c>
      <c r="E192" s="351">
        <f t="shared" si="99"/>
        <v>162919.8313887987</v>
      </c>
      <c r="F192" s="351">
        <f t="shared" si="99"/>
        <v>139270.32027933034</v>
      </c>
      <c r="G192" s="351">
        <f t="shared" si="99"/>
        <v>157771.6901232312</v>
      </c>
      <c r="H192" s="351">
        <f t="shared" si="99"/>
        <v>142468.6260763677</v>
      </c>
      <c r="I192" s="351">
        <f t="shared" si="99"/>
        <v>127441.9748246795</v>
      </c>
      <c r="J192" s="337">
        <f t="shared" si="99"/>
        <v>122174.8266853829</v>
      </c>
      <c r="K192" s="337">
        <f t="shared" si="99"/>
        <v>71978.08817044807</v>
      </c>
      <c r="L192" s="316">
        <f t="shared" si="99"/>
        <v>-10266.514848932922</v>
      </c>
      <c r="M192" s="316">
        <f t="shared" si="99"/>
        <v>-22327.03405072801</v>
      </c>
      <c r="N192" s="316">
        <f t="shared" si="99"/>
        <v>-90669.15229043536</v>
      </c>
      <c r="O192" s="337">
        <f t="shared" si="90"/>
        <v>1101120.0169743663</v>
      </c>
    </row>
    <row r="193" spans="3:9" ht="12.75">
      <c r="C193" s="351"/>
      <c r="D193" s="351"/>
      <c r="E193" s="351"/>
      <c r="F193" s="351"/>
      <c r="G193" s="351"/>
      <c r="H193" s="351"/>
      <c r="I193" s="351"/>
    </row>
    <row r="194" spans="1:9" ht="12.75">
      <c r="A194" s="313" t="s">
        <v>100</v>
      </c>
      <c r="C194" s="351"/>
      <c r="D194" s="351"/>
      <c r="E194" s="351"/>
      <c r="F194" s="351"/>
      <c r="G194" s="351"/>
      <c r="H194" s="351"/>
      <c r="I194" s="351"/>
    </row>
    <row r="195" spans="1:15" ht="12.75">
      <c r="A195" s="313" t="s">
        <v>83</v>
      </c>
      <c r="C195" s="351">
        <f>C149-C173</f>
        <v>0</v>
      </c>
      <c r="D195" s="351">
        <f aca="true" t="shared" si="100" ref="D195:N195">D149-D173</f>
        <v>-806.3999999999996</v>
      </c>
      <c r="E195" s="351">
        <f t="shared" si="100"/>
        <v>-33.599999999998545</v>
      </c>
      <c r="F195" s="351">
        <f t="shared" si="100"/>
        <v>0</v>
      </c>
      <c r="G195" s="351">
        <f t="shared" si="100"/>
        <v>0</v>
      </c>
      <c r="H195" s="351">
        <f t="shared" si="100"/>
        <v>0</v>
      </c>
      <c r="I195" s="351">
        <f t="shared" si="100"/>
        <v>0</v>
      </c>
      <c r="J195" s="320">
        <f t="shared" si="100"/>
        <v>0</v>
      </c>
      <c r="K195" s="320">
        <f t="shared" si="100"/>
        <v>0</v>
      </c>
      <c r="L195" s="320">
        <f t="shared" si="100"/>
        <v>0</v>
      </c>
      <c r="M195" s="320">
        <f t="shared" si="100"/>
        <v>-3516.7999999999993</v>
      </c>
      <c r="N195" s="320">
        <f t="shared" si="100"/>
        <v>-169.16319999999905</v>
      </c>
      <c r="O195" s="316">
        <f>SUM(C195:N195)</f>
        <v>-4525.9631999999965</v>
      </c>
    </row>
    <row r="196" spans="1:15" ht="12.75">
      <c r="A196" s="313" t="s">
        <v>116</v>
      </c>
      <c r="C196" s="357">
        <f>C150-C174</f>
        <v>0</v>
      </c>
      <c r="D196" s="357">
        <f aca="true" t="shared" si="101" ref="D196:N196">D150-D174</f>
        <v>0</v>
      </c>
      <c r="E196" s="357">
        <f t="shared" si="101"/>
        <v>0</v>
      </c>
      <c r="F196" s="357">
        <f t="shared" si="101"/>
        <v>0</v>
      </c>
      <c r="G196" s="357">
        <f t="shared" si="101"/>
        <v>0</v>
      </c>
      <c r="H196" s="357">
        <f t="shared" si="101"/>
        <v>0</v>
      </c>
      <c r="I196" s="357">
        <f t="shared" si="101"/>
        <v>0</v>
      </c>
      <c r="J196" s="357">
        <f t="shared" si="101"/>
        <v>0</v>
      </c>
      <c r="K196" s="357">
        <f t="shared" si="101"/>
        <v>0</v>
      </c>
      <c r="L196" s="357">
        <f t="shared" si="101"/>
        <v>0</v>
      </c>
      <c r="M196" s="357">
        <f t="shared" si="101"/>
        <v>0</v>
      </c>
      <c r="N196" s="357">
        <f t="shared" si="101"/>
        <v>0</v>
      </c>
      <c r="O196" s="337">
        <f>SUM(C196:N196)</f>
        <v>0</v>
      </c>
    </row>
    <row r="197" spans="1:15" ht="12.75">
      <c r="A197" s="313" t="s">
        <v>118</v>
      </c>
      <c r="C197" s="351">
        <f>SUM(C195:C196)</f>
        <v>0</v>
      </c>
      <c r="D197" s="351">
        <f aca="true" t="shared" si="102" ref="D197:N197">SUM(D195:D196)</f>
        <v>-806.3999999999996</v>
      </c>
      <c r="E197" s="351">
        <f t="shared" si="102"/>
        <v>-33.599999999998545</v>
      </c>
      <c r="F197" s="351">
        <f t="shared" si="102"/>
        <v>0</v>
      </c>
      <c r="G197" s="351">
        <f t="shared" si="102"/>
        <v>0</v>
      </c>
      <c r="H197" s="351">
        <f t="shared" si="102"/>
        <v>0</v>
      </c>
      <c r="I197" s="351">
        <f t="shared" si="102"/>
        <v>0</v>
      </c>
      <c r="J197" s="337">
        <f t="shared" si="102"/>
        <v>0</v>
      </c>
      <c r="K197" s="337">
        <f t="shared" si="102"/>
        <v>0</v>
      </c>
      <c r="L197" s="337">
        <f t="shared" si="102"/>
        <v>0</v>
      </c>
      <c r="M197" s="316">
        <f t="shared" si="102"/>
        <v>-3516.7999999999993</v>
      </c>
      <c r="N197" s="316">
        <f t="shared" si="102"/>
        <v>-169.16319999999905</v>
      </c>
      <c r="O197" s="316">
        <f>SUM(C197:N197)</f>
        <v>-4525.9631999999965</v>
      </c>
    </row>
    <row r="199" spans="1:15" ht="12.75">
      <c r="A199" s="313" t="s">
        <v>47</v>
      </c>
      <c r="C199" s="337">
        <f>C153-C177</f>
        <v>140487.65988815716</v>
      </c>
      <c r="D199" s="337">
        <f aca="true" t="shared" si="103" ref="D199:N199">D153-D177</f>
        <v>159063.30072806682</v>
      </c>
      <c r="E199" s="337">
        <f t="shared" si="103"/>
        <v>162886.23138879891</v>
      </c>
      <c r="F199" s="337">
        <f t="shared" si="103"/>
        <v>139270.32027933036</v>
      </c>
      <c r="G199" s="337">
        <f t="shared" si="103"/>
        <v>157771.69012323127</v>
      </c>
      <c r="H199" s="337">
        <f t="shared" si="103"/>
        <v>142468.6260763678</v>
      </c>
      <c r="I199" s="337">
        <f t="shared" si="103"/>
        <v>127441.97482467932</v>
      </c>
      <c r="J199" s="337">
        <f t="shared" si="103"/>
        <v>122174.8266853831</v>
      </c>
      <c r="K199" s="337">
        <f t="shared" si="103"/>
        <v>71978.08817044797</v>
      </c>
      <c r="L199" s="316">
        <f t="shared" si="103"/>
        <v>-10266.51484893274</v>
      </c>
      <c r="M199" s="316">
        <f t="shared" si="103"/>
        <v>-25843.834050728008</v>
      </c>
      <c r="N199" s="316">
        <f t="shared" si="103"/>
        <v>-90838.31549043546</v>
      </c>
      <c r="O199" s="337">
        <f>SUM(C199:N199)</f>
        <v>1096594.0537743666</v>
      </c>
    </row>
    <row r="201" ht="12.75">
      <c r="A201" s="313" t="s">
        <v>229</v>
      </c>
    </row>
    <row r="202" spans="1:2" ht="12.75">
      <c r="A202" s="313" t="s">
        <v>230</v>
      </c>
      <c r="B202" s="358">
        <f>B100</f>
        <v>0.0787</v>
      </c>
    </row>
    <row r="204" ht="12.75">
      <c r="A204" s="313" t="s">
        <v>233</v>
      </c>
    </row>
    <row r="206" ht="12.75">
      <c r="A206" s="313" t="s">
        <v>41</v>
      </c>
    </row>
    <row r="207" spans="1:15" ht="12.75">
      <c r="A207" s="313" t="s">
        <v>103</v>
      </c>
      <c r="B207" s="313">
        <f>'BA Calculation'!W16</f>
        <v>0.27</v>
      </c>
      <c r="C207" s="347">
        <f>C108*$B105/100</f>
        <v>403.22756532895767</v>
      </c>
      <c r="D207" s="347">
        <f aca="true" t="shared" si="104" ref="D207:N208">D108*$B105/100</f>
        <v>370.3202564660119</v>
      </c>
      <c r="E207" s="347">
        <f t="shared" si="104"/>
        <v>354.6560884401078</v>
      </c>
      <c r="F207" s="347">
        <f t="shared" si="104"/>
        <v>300.7916716287657</v>
      </c>
      <c r="G207" s="347">
        <f t="shared" si="104"/>
        <v>275.6226155706179</v>
      </c>
      <c r="H207" s="347">
        <f t="shared" si="104"/>
        <v>262.4697923060035</v>
      </c>
      <c r="I207" s="347">
        <f t="shared" si="104"/>
        <v>270.4939843538481</v>
      </c>
      <c r="J207" s="347">
        <f t="shared" si="104"/>
        <v>272.3028935551744</v>
      </c>
      <c r="K207" s="347">
        <f t="shared" si="104"/>
        <v>246.53828331348802</v>
      </c>
      <c r="L207" s="347">
        <f t="shared" si="104"/>
        <v>274.967609605033</v>
      </c>
      <c r="M207" s="347">
        <f t="shared" si="104"/>
        <v>287.83515890152916</v>
      </c>
      <c r="N207" s="347">
        <f t="shared" si="104"/>
        <v>359.50172478206247</v>
      </c>
      <c r="O207" s="347">
        <f>SUM(B207:N207)</f>
        <v>3678.9976442515995</v>
      </c>
    </row>
    <row r="208" spans="1:15" ht="12.75">
      <c r="A208" s="313" t="s">
        <v>104</v>
      </c>
      <c r="B208" s="313">
        <f>'BA Calculation'!W16</f>
        <v>0.27</v>
      </c>
      <c r="C208" s="347">
        <f>C109*$B106/100</f>
        <v>3878.2719813116373</v>
      </c>
      <c r="D208" s="347">
        <f t="shared" si="104"/>
        <v>3637.421486080628</v>
      </c>
      <c r="E208" s="347">
        <f t="shared" si="104"/>
        <v>3740.858685213016</v>
      </c>
      <c r="F208" s="347">
        <f t="shared" si="104"/>
        <v>3236.7530411497028</v>
      </c>
      <c r="G208" s="347">
        <f t="shared" si="104"/>
        <v>3051.186902907688</v>
      </c>
      <c r="H208" s="347">
        <f t="shared" si="104"/>
        <v>3085.3640649180675</v>
      </c>
      <c r="I208" s="347">
        <f t="shared" si="104"/>
        <v>3336.9549511922996</v>
      </c>
      <c r="J208" s="347">
        <f t="shared" si="104"/>
        <v>3244.6950139685614</v>
      </c>
      <c r="K208" s="347">
        <f t="shared" si="104"/>
        <v>3009.8813160586847</v>
      </c>
      <c r="L208" s="347">
        <f t="shared" si="104"/>
        <v>3147.958617912903</v>
      </c>
      <c r="M208" s="347">
        <f t="shared" si="104"/>
        <v>3288.882668642709</v>
      </c>
      <c r="N208" s="347">
        <f t="shared" si="104"/>
        <v>3750.193864687318</v>
      </c>
      <c r="O208" s="349">
        <f aca="true" t="shared" si="105" ref="O208:O219">SUM(B208:N208)</f>
        <v>40408.69259404321</v>
      </c>
    </row>
    <row r="209" spans="1:15" ht="12.75">
      <c r="A209" s="313" t="s">
        <v>105</v>
      </c>
      <c r="C209" s="354">
        <f>SUM(C207:C208)</f>
        <v>4281.499546640595</v>
      </c>
      <c r="D209" s="354">
        <f aca="true" t="shared" si="106" ref="D209:N209">SUM(D207:D208)</f>
        <v>4007.7417425466397</v>
      </c>
      <c r="E209" s="354">
        <f t="shared" si="106"/>
        <v>4095.514773653124</v>
      </c>
      <c r="F209" s="354">
        <f t="shared" si="106"/>
        <v>3537.5447127784682</v>
      </c>
      <c r="G209" s="354">
        <f t="shared" si="106"/>
        <v>3326.809518478306</v>
      </c>
      <c r="H209" s="354">
        <f t="shared" si="106"/>
        <v>3347.833857224071</v>
      </c>
      <c r="I209" s="354">
        <f t="shared" si="106"/>
        <v>3607.448935546148</v>
      </c>
      <c r="J209" s="354">
        <f t="shared" si="106"/>
        <v>3516.9979075237356</v>
      </c>
      <c r="K209" s="354">
        <f t="shared" si="106"/>
        <v>3256.419599372173</v>
      </c>
      <c r="L209" s="354">
        <f t="shared" si="106"/>
        <v>3422.926227517936</v>
      </c>
      <c r="M209" s="354">
        <f t="shared" si="106"/>
        <v>3576.7178275442384</v>
      </c>
      <c r="N209" s="354">
        <f t="shared" si="106"/>
        <v>4109.695589469381</v>
      </c>
      <c r="O209" s="354">
        <f t="shared" si="105"/>
        <v>44087.15023829481</v>
      </c>
    </row>
    <row r="210" spans="1:15" ht="12.75">
      <c r="A210" s="313" t="s">
        <v>49</v>
      </c>
      <c r="B210" s="313">
        <f>'BA Calculation'!W18</f>
        <v>0.287</v>
      </c>
      <c r="C210" s="347">
        <f aca="true" t="shared" si="107" ref="C210:N210">C111*$B108/100</f>
        <v>331.8032792364945</v>
      </c>
      <c r="D210" s="347">
        <f t="shared" si="107"/>
        <v>318.09645883846133</v>
      </c>
      <c r="E210" s="347">
        <f t="shared" si="107"/>
        <v>319.0411109772957</v>
      </c>
      <c r="F210" s="347">
        <f t="shared" si="107"/>
        <v>304.3787969560585</v>
      </c>
      <c r="G210" s="347">
        <f t="shared" si="107"/>
        <v>306.77822593903716</v>
      </c>
      <c r="H210" s="347">
        <f t="shared" si="107"/>
        <v>320.2562887708147</v>
      </c>
      <c r="I210" s="347">
        <f t="shared" si="107"/>
        <v>325.54631189195845</v>
      </c>
      <c r="J210" s="347">
        <f t="shared" si="107"/>
        <v>324.9343774895307</v>
      </c>
      <c r="K210" s="347">
        <f t="shared" si="107"/>
        <v>303.7310176863016</v>
      </c>
      <c r="L210" s="347">
        <f t="shared" si="107"/>
        <v>279.73758611077164</v>
      </c>
      <c r="M210" s="347">
        <f t="shared" si="107"/>
        <v>306.81896596014417</v>
      </c>
      <c r="N210" s="347">
        <f t="shared" si="107"/>
        <v>355.8128140868774</v>
      </c>
      <c r="O210" s="347">
        <f t="shared" si="105"/>
        <v>3797.222233943746</v>
      </c>
    </row>
    <row r="211" spans="1:15" ht="12.75">
      <c r="A211" s="313" t="s">
        <v>50</v>
      </c>
      <c r="B211" s="313">
        <f>'BA Calculation'!W19</f>
        <v>0.314</v>
      </c>
      <c r="C211" s="347">
        <f aca="true" t="shared" si="108" ref="C211:N211">C112*$B109/100</f>
        <v>610.7184234107995</v>
      </c>
      <c r="D211" s="347">
        <f t="shared" si="108"/>
        <v>551.0547296727848</v>
      </c>
      <c r="E211" s="347">
        <f t="shared" si="108"/>
        <v>588.0696710737544</v>
      </c>
      <c r="F211" s="347">
        <f t="shared" si="108"/>
        <v>586.0319145026123</v>
      </c>
      <c r="G211" s="347">
        <f t="shared" si="108"/>
        <v>579.0640797140411</v>
      </c>
      <c r="H211" s="347">
        <f t="shared" si="108"/>
        <v>606.2171166321052</v>
      </c>
      <c r="I211" s="347">
        <f t="shared" si="108"/>
        <v>605.6600554490133</v>
      </c>
      <c r="J211" s="347">
        <f t="shared" si="108"/>
        <v>606.3144791371731</v>
      </c>
      <c r="K211" s="347">
        <f t="shared" si="108"/>
        <v>590.5531272100336</v>
      </c>
      <c r="L211" s="347">
        <f t="shared" si="108"/>
        <v>595.4633632408819</v>
      </c>
      <c r="M211" s="347">
        <f t="shared" si="108"/>
        <v>583.155575543502</v>
      </c>
      <c r="N211" s="347">
        <f t="shared" si="108"/>
        <v>594.0482828549516</v>
      </c>
      <c r="O211" s="347">
        <f t="shared" si="105"/>
        <v>7096.664818441654</v>
      </c>
    </row>
    <row r="212" spans="1:15" ht="12.75">
      <c r="A212" s="313" t="s">
        <v>51</v>
      </c>
      <c r="B212" s="313">
        <f>'BA Calculation'!W20</f>
        <v>0.338</v>
      </c>
      <c r="C212" s="347">
        <f aca="true" t="shared" si="109" ref="C212:N212">C113*$B110/100</f>
        <v>973.2816776864615</v>
      </c>
      <c r="D212" s="347">
        <f t="shared" si="109"/>
        <v>908.1011510466767</v>
      </c>
      <c r="E212" s="347">
        <f t="shared" si="109"/>
        <v>978.4951065380592</v>
      </c>
      <c r="F212" s="347">
        <f t="shared" si="109"/>
        <v>957.1033253538241</v>
      </c>
      <c r="G212" s="347">
        <f t="shared" si="109"/>
        <v>965.2290969906701</v>
      </c>
      <c r="H212" s="347">
        <f t="shared" si="109"/>
        <v>963.914176552405</v>
      </c>
      <c r="I212" s="347">
        <f t="shared" si="109"/>
        <v>996.6552828150669</v>
      </c>
      <c r="J212" s="347">
        <f t="shared" si="109"/>
        <v>1104.5437760174202</v>
      </c>
      <c r="K212" s="347">
        <f t="shared" si="109"/>
        <v>1032.7437385525263</v>
      </c>
      <c r="L212" s="347">
        <f t="shared" si="109"/>
        <v>1039.5809143931815</v>
      </c>
      <c r="M212" s="347">
        <f t="shared" si="109"/>
        <v>1003.8708055209496</v>
      </c>
      <c r="N212" s="347">
        <f t="shared" si="109"/>
        <v>950.5892871759361</v>
      </c>
      <c r="O212" s="347">
        <f t="shared" si="105"/>
        <v>11874.446338643178</v>
      </c>
    </row>
    <row r="213" spans="1:15" ht="12.75">
      <c r="A213" s="313" t="s">
        <v>52</v>
      </c>
      <c r="B213" s="313">
        <f>'BA Calculation'!W21</f>
        <v>0.321</v>
      </c>
      <c r="C213" s="347">
        <f aca="true" t="shared" si="110" ref="C213:N213">C114*$B111/100</f>
        <v>389.47558446719995</v>
      </c>
      <c r="D213" s="347">
        <f t="shared" si="110"/>
        <v>364.3481274048</v>
      </c>
      <c r="E213" s="347">
        <f t="shared" si="110"/>
        <v>389.47558446719995</v>
      </c>
      <c r="F213" s="347">
        <f t="shared" si="110"/>
        <v>376.91185593600005</v>
      </c>
      <c r="G213" s="347">
        <f t="shared" si="110"/>
        <v>389.47558446719995</v>
      </c>
      <c r="H213" s="347">
        <f t="shared" si="110"/>
        <v>376.91185593600005</v>
      </c>
      <c r="I213" s="347">
        <f t="shared" si="110"/>
        <v>389.47558446719995</v>
      </c>
      <c r="J213" s="347">
        <f t="shared" si="110"/>
        <v>389.47558446719995</v>
      </c>
      <c r="K213" s="347">
        <f t="shared" si="110"/>
        <v>376.91185593600005</v>
      </c>
      <c r="L213" s="347">
        <f t="shared" si="110"/>
        <v>389.47558446719995</v>
      </c>
      <c r="M213" s="347">
        <f t="shared" si="110"/>
        <v>376.91185593600005</v>
      </c>
      <c r="N213" s="347">
        <f t="shared" si="110"/>
        <v>389.47558446719995</v>
      </c>
      <c r="O213" s="347">
        <f t="shared" si="105"/>
        <v>4598.6456424192</v>
      </c>
    </row>
    <row r="214" spans="1:15" ht="12.75">
      <c r="A214" s="313" t="s">
        <v>53</v>
      </c>
      <c r="B214" s="313">
        <f>'BA Calculation'!W22</f>
        <v>0.314</v>
      </c>
      <c r="C214" s="347">
        <f aca="true" t="shared" si="111" ref="C214:N214">C115*$B112/100</f>
        <v>260.248582489907</v>
      </c>
      <c r="D214" s="347">
        <f t="shared" si="111"/>
        <v>247.35390945023505</v>
      </c>
      <c r="E214" s="347">
        <f t="shared" si="111"/>
        <v>247.2528777216253</v>
      </c>
      <c r="F214" s="347">
        <f t="shared" si="111"/>
        <v>201.79546910718182</v>
      </c>
      <c r="G214" s="347">
        <f t="shared" si="111"/>
        <v>180.95091802356671</v>
      </c>
      <c r="H214" s="347">
        <f t="shared" si="111"/>
        <v>166.704658875122</v>
      </c>
      <c r="I214" s="347">
        <f t="shared" si="111"/>
        <v>183.7242950749373</v>
      </c>
      <c r="J214" s="347">
        <f t="shared" si="111"/>
        <v>181.15516568103936</v>
      </c>
      <c r="K214" s="347">
        <f t="shared" si="111"/>
        <v>177.00513034550033</v>
      </c>
      <c r="L214" s="347">
        <f t="shared" si="111"/>
        <v>190.6161462668632</v>
      </c>
      <c r="M214" s="347">
        <f t="shared" si="111"/>
        <v>213.05977504034524</v>
      </c>
      <c r="N214" s="347">
        <f t="shared" si="111"/>
        <v>252.4279649681435</v>
      </c>
      <c r="O214" s="347">
        <f t="shared" si="105"/>
        <v>2502.608893044467</v>
      </c>
    </row>
    <row r="215" spans="1:15" ht="12.75">
      <c r="A215" s="313" t="s">
        <v>54</v>
      </c>
      <c r="B215" s="313">
        <f>'BA Calculation'!W23</f>
        <v>0.332</v>
      </c>
      <c r="C215" s="347">
        <f aca="true" t="shared" si="112" ref="C215:N215">C116*$B113/100</f>
        <v>117.99652260089802</v>
      </c>
      <c r="D215" s="347">
        <f t="shared" si="112"/>
        <v>112.37060390652637</v>
      </c>
      <c r="E215" s="347">
        <f t="shared" si="112"/>
        <v>117.80216005404144</v>
      </c>
      <c r="F215" s="347">
        <f t="shared" si="112"/>
        <v>113.65121089214465</v>
      </c>
      <c r="G215" s="347">
        <f t="shared" si="112"/>
        <v>120.42339741257625</v>
      </c>
      <c r="H215" s="347">
        <f t="shared" si="112"/>
        <v>114.62171887060394</v>
      </c>
      <c r="I215" s="347">
        <f t="shared" si="112"/>
        <v>112.66457382601722</v>
      </c>
      <c r="J215" s="347">
        <f t="shared" si="112"/>
        <v>116.81163583461806</v>
      </c>
      <c r="K215" s="347">
        <f t="shared" si="112"/>
        <v>117.9920853060497</v>
      </c>
      <c r="L215" s="347">
        <f t="shared" si="112"/>
        <v>115.1765313512894</v>
      </c>
      <c r="M215" s="347">
        <f t="shared" si="112"/>
        <v>122.28927943007665</v>
      </c>
      <c r="N215" s="347">
        <f t="shared" si="112"/>
        <v>123.05571197756973</v>
      </c>
      <c r="O215" s="347">
        <f t="shared" si="105"/>
        <v>1405.1874314624113</v>
      </c>
    </row>
    <row r="216" spans="1:15" ht="12.75">
      <c r="A216" s="313" t="s">
        <v>58</v>
      </c>
      <c r="B216" s="313" t="str">
        <f>'BA Calculation'!W24</f>
        <v>N/A</v>
      </c>
      <c r="C216" s="347">
        <f aca="true" t="shared" si="113" ref="C216:N216">C117*$B114/100</f>
        <v>11425.393358945694</v>
      </c>
      <c r="D216" s="347">
        <f t="shared" si="113"/>
        <v>10274.212019877332</v>
      </c>
      <c r="E216" s="347">
        <f t="shared" si="113"/>
        <v>10478.42898721351</v>
      </c>
      <c r="F216" s="347">
        <f t="shared" si="113"/>
        <v>8927.352988425473</v>
      </c>
      <c r="G216" s="347">
        <f t="shared" si="113"/>
        <v>8366.794290424294</v>
      </c>
      <c r="H216" s="347">
        <f t="shared" si="113"/>
        <v>7710.710209525705</v>
      </c>
      <c r="I216" s="347">
        <f t="shared" si="113"/>
        <v>8014.384699177992</v>
      </c>
      <c r="J216" s="347">
        <f t="shared" si="113"/>
        <v>7966.056984085802</v>
      </c>
      <c r="K216" s="347">
        <f t="shared" si="113"/>
        <v>7664.452882460293</v>
      </c>
      <c r="L216" s="347">
        <f t="shared" si="113"/>
        <v>8233.97058522109</v>
      </c>
      <c r="M216" s="347">
        <f t="shared" si="113"/>
        <v>8929.40331572898</v>
      </c>
      <c r="N216" s="347">
        <f t="shared" si="113"/>
        <v>10695.663841033967</v>
      </c>
      <c r="O216" s="347">
        <f t="shared" si="105"/>
        <v>108686.82416212015</v>
      </c>
    </row>
    <row r="217" spans="1:15" ht="12.75">
      <c r="A217" s="313" t="s">
        <v>55</v>
      </c>
      <c r="B217" s="313">
        <f>'BA Calculation'!W25</f>
        <v>0.273</v>
      </c>
      <c r="C217" s="347">
        <f aca="true" t="shared" si="114" ref="C217:N217">C118*$B115/100</f>
        <v>0</v>
      </c>
      <c r="D217" s="347">
        <f t="shared" si="114"/>
        <v>0</v>
      </c>
      <c r="E217" s="347">
        <f t="shared" si="114"/>
        <v>0</v>
      </c>
      <c r="F217" s="347">
        <f t="shared" si="114"/>
        <v>0</v>
      </c>
      <c r="G217" s="347">
        <f t="shared" si="114"/>
        <v>0</v>
      </c>
      <c r="H217" s="347">
        <f t="shared" si="114"/>
        <v>0</v>
      </c>
      <c r="I217" s="347">
        <f t="shared" si="114"/>
        <v>0</v>
      </c>
      <c r="J217" s="347">
        <f t="shared" si="114"/>
        <v>0</v>
      </c>
      <c r="K217" s="347">
        <f t="shared" si="114"/>
        <v>0</v>
      </c>
      <c r="L217" s="347">
        <f t="shared" si="114"/>
        <v>0</v>
      </c>
      <c r="M217" s="347">
        <f t="shared" si="114"/>
        <v>0</v>
      </c>
      <c r="N217" s="347">
        <f t="shared" si="114"/>
        <v>0</v>
      </c>
      <c r="O217" s="347">
        <f t="shared" si="105"/>
        <v>0.273</v>
      </c>
    </row>
    <row r="218" spans="1:15" ht="12.75">
      <c r="A218" s="313" t="s">
        <v>56</v>
      </c>
      <c r="B218" s="313">
        <f>'BA Calculation'!W26</f>
        <v>0.387</v>
      </c>
      <c r="C218" s="347">
        <f aca="true" t="shared" si="115" ref="C218:N218">C119*$B116/100</f>
        <v>0</v>
      </c>
      <c r="D218" s="347">
        <f t="shared" si="115"/>
        <v>0</v>
      </c>
      <c r="E218" s="347">
        <f t="shared" si="115"/>
        <v>0</v>
      </c>
      <c r="F218" s="347">
        <f t="shared" si="115"/>
        <v>0</v>
      </c>
      <c r="G218" s="347">
        <f t="shared" si="115"/>
        <v>0</v>
      </c>
      <c r="H218" s="347">
        <f t="shared" si="115"/>
        <v>0</v>
      </c>
      <c r="I218" s="347">
        <f t="shared" si="115"/>
        <v>0</v>
      </c>
      <c r="J218" s="347">
        <f t="shared" si="115"/>
        <v>0</v>
      </c>
      <c r="K218" s="347">
        <f t="shared" si="115"/>
        <v>0</v>
      </c>
      <c r="L218" s="347">
        <f t="shared" si="115"/>
        <v>0</v>
      </c>
      <c r="M218" s="347">
        <f t="shared" si="115"/>
        <v>0</v>
      </c>
      <c r="N218" s="347">
        <f t="shared" si="115"/>
        <v>0</v>
      </c>
      <c r="O218" s="349">
        <f t="shared" si="105"/>
        <v>0.387</v>
      </c>
    </row>
    <row r="219" spans="1:15" ht="12.75">
      <c r="A219" s="313" t="s">
        <v>60</v>
      </c>
      <c r="C219" s="343">
        <f>SUM(C209:C218)</f>
        <v>18390.41697547805</v>
      </c>
      <c r="D219" s="343">
        <f aca="true" t="shared" si="116" ref="D219:N219">SUM(D209:D218)</f>
        <v>16783.278742743456</v>
      </c>
      <c r="E219" s="343">
        <f t="shared" si="116"/>
        <v>17214.08027169861</v>
      </c>
      <c r="F219" s="343">
        <f t="shared" si="116"/>
        <v>15004.770273951763</v>
      </c>
      <c r="G219" s="343">
        <f t="shared" si="116"/>
        <v>14235.52511144969</v>
      </c>
      <c r="H219" s="343">
        <f t="shared" si="116"/>
        <v>13607.169882386826</v>
      </c>
      <c r="I219" s="343">
        <f t="shared" si="116"/>
        <v>14235.559738248332</v>
      </c>
      <c r="J219" s="343">
        <f t="shared" si="116"/>
        <v>14206.289910236519</v>
      </c>
      <c r="K219" s="343">
        <f t="shared" si="116"/>
        <v>13519.809436868876</v>
      </c>
      <c r="L219" s="343">
        <f t="shared" si="116"/>
        <v>14266.946938569214</v>
      </c>
      <c r="M219" s="343">
        <f t="shared" si="116"/>
        <v>15112.227400704236</v>
      </c>
      <c r="N219" s="343">
        <f t="shared" si="116"/>
        <v>17470.769076034027</v>
      </c>
      <c r="O219" s="343">
        <f t="shared" si="105"/>
        <v>184046.8437583696</v>
      </c>
    </row>
    <row r="220" spans="3:15" ht="12.75">
      <c r="C220" s="347"/>
      <c r="D220" s="347"/>
      <c r="E220" s="347"/>
      <c r="F220" s="347"/>
      <c r="G220" s="347"/>
      <c r="H220" s="347"/>
      <c r="I220" s="347"/>
      <c r="J220" s="347"/>
      <c r="K220" s="347"/>
      <c r="L220" s="347"/>
      <c r="M220" s="347"/>
      <c r="N220" s="347"/>
      <c r="O220" s="347"/>
    </row>
    <row r="221" spans="1:15" ht="12.75">
      <c r="A221" s="313" t="s">
        <v>100</v>
      </c>
      <c r="C221" s="347"/>
      <c r="D221" s="347"/>
      <c r="E221" s="347"/>
      <c r="F221" s="347"/>
      <c r="G221" s="347"/>
      <c r="H221" s="347"/>
      <c r="I221" s="347"/>
      <c r="J221" s="347"/>
      <c r="K221" s="347"/>
      <c r="L221" s="347"/>
      <c r="M221" s="347"/>
      <c r="N221" s="347"/>
      <c r="O221" s="347"/>
    </row>
    <row r="222" spans="1:15" ht="12.75">
      <c r="A222" s="313" t="s">
        <v>83</v>
      </c>
      <c r="B222" s="313">
        <f>'BA Calculation'!W29</f>
        <v>0.162</v>
      </c>
      <c r="C222" s="347">
        <f aca="true" t="shared" si="117" ref="C222:N222">C123*$B120/100</f>
        <v>0</v>
      </c>
      <c r="D222" s="347">
        <f t="shared" si="117"/>
        <v>0</v>
      </c>
      <c r="E222" s="347">
        <f t="shared" si="117"/>
        <v>0</v>
      </c>
      <c r="F222" s="347">
        <f t="shared" si="117"/>
        <v>0</v>
      </c>
      <c r="G222" s="347">
        <f t="shared" si="117"/>
        <v>0</v>
      </c>
      <c r="H222" s="347">
        <f t="shared" si="117"/>
        <v>0</v>
      </c>
      <c r="I222" s="347">
        <f t="shared" si="117"/>
        <v>0</v>
      </c>
      <c r="J222" s="347">
        <f t="shared" si="117"/>
        <v>0</v>
      </c>
      <c r="K222" s="347">
        <f t="shared" si="117"/>
        <v>0</v>
      </c>
      <c r="L222" s="347">
        <f t="shared" si="117"/>
        <v>0</v>
      </c>
      <c r="M222" s="347">
        <f t="shared" si="117"/>
        <v>0</v>
      </c>
      <c r="N222" s="347">
        <f t="shared" si="117"/>
        <v>0</v>
      </c>
      <c r="O222" s="347">
        <f>SUM(B222:N222)</f>
        <v>0.162</v>
      </c>
    </row>
    <row r="223" spans="1:15" ht="12.75">
      <c r="A223" s="313" t="s">
        <v>116</v>
      </c>
      <c r="B223" s="313">
        <f>'BA Calculation'!W29</f>
        <v>0.162</v>
      </c>
      <c r="C223" s="347">
        <f aca="true" t="shared" si="118" ref="C223:N223">C124*$B121/100</f>
        <v>0</v>
      </c>
      <c r="D223" s="347">
        <f t="shared" si="118"/>
        <v>0</v>
      </c>
      <c r="E223" s="347">
        <f t="shared" si="118"/>
        <v>0</v>
      </c>
      <c r="F223" s="347">
        <f t="shared" si="118"/>
        <v>0</v>
      </c>
      <c r="G223" s="347">
        <f t="shared" si="118"/>
        <v>0</v>
      </c>
      <c r="H223" s="347">
        <f t="shared" si="118"/>
        <v>0</v>
      </c>
      <c r="I223" s="347">
        <f t="shared" si="118"/>
        <v>0</v>
      </c>
      <c r="J223" s="347">
        <f t="shared" si="118"/>
        <v>0</v>
      </c>
      <c r="K223" s="347">
        <f t="shared" si="118"/>
        <v>0</v>
      </c>
      <c r="L223" s="347">
        <f t="shared" si="118"/>
        <v>0</v>
      </c>
      <c r="M223" s="347">
        <f t="shared" si="118"/>
        <v>0</v>
      </c>
      <c r="N223" s="347">
        <f t="shared" si="118"/>
        <v>0</v>
      </c>
      <c r="O223" s="349">
        <f>SUM(B223:N223)</f>
        <v>0.162</v>
      </c>
    </row>
    <row r="224" spans="1:15" ht="12.75">
      <c r="A224" s="313" t="s">
        <v>118</v>
      </c>
      <c r="C224" s="343">
        <f>SUM(C222:C223)</f>
        <v>0</v>
      </c>
      <c r="D224" s="343">
        <f aca="true" t="shared" si="119" ref="D224:N224">SUM(D222:D223)</f>
        <v>0</v>
      </c>
      <c r="E224" s="343">
        <f t="shared" si="119"/>
        <v>0</v>
      </c>
      <c r="F224" s="343">
        <f t="shared" si="119"/>
        <v>0</v>
      </c>
      <c r="G224" s="343">
        <f t="shared" si="119"/>
        <v>0</v>
      </c>
      <c r="H224" s="343">
        <f t="shared" si="119"/>
        <v>0</v>
      </c>
      <c r="I224" s="343">
        <f t="shared" si="119"/>
        <v>0</v>
      </c>
      <c r="J224" s="343">
        <f t="shared" si="119"/>
        <v>0</v>
      </c>
      <c r="K224" s="343">
        <f t="shared" si="119"/>
        <v>0</v>
      </c>
      <c r="L224" s="343">
        <f t="shared" si="119"/>
        <v>0</v>
      </c>
      <c r="M224" s="343">
        <f t="shared" si="119"/>
        <v>0</v>
      </c>
      <c r="N224" s="343">
        <f t="shared" si="119"/>
        <v>0</v>
      </c>
      <c r="O224" s="343">
        <f>SUM(O222:O223)</f>
        <v>0.324</v>
      </c>
    </row>
    <row r="225" spans="3:15" ht="12.75">
      <c r="C225" s="347"/>
      <c r="D225" s="347"/>
      <c r="E225" s="347"/>
      <c r="F225" s="347"/>
      <c r="G225" s="347"/>
      <c r="H225" s="347"/>
      <c r="I225" s="347"/>
      <c r="J225" s="347"/>
      <c r="K225" s="347"/>
      <c r="L225" s="347"/>
      <c r="M225" s="347"/>
      <c r="N225" s="347"/>
      <c r="O225" s="347"/>
    </row>
    <row r="226" spans="1:15" ht="12.75">
      <c r="A226" s="313" t="s">
        <v>47</v>
      </c>
      <c r="C226" s="343">
        <f>C224+C219</f>
        <v>18390.41697547805</v>
      </c>
      <c r="D226" s="343">
        <f aca="true" t="shared" si="120" ref="D226:N226">D224+D219</f>
        <v>16783.278742743456</v>
      </c>
      <c r="E226" s="343">
        <f t="shared" si="120"/>
        <v>17214.08027169861</v>
      </c>
      <c r="F226" s="343">
        <f t="shared" si="120"/>
        <v>15004.770273951763</v>
      </c>
      <c r="G226" s="343">
        <f t="shared" si="120"/>
        <v>14235.52511144969</v>
      </c>
      <c r="H226" s="343">
        <f t="shared" si="120"/>
        <v>13607.169882386826</v>
      </c>
      <c r="I226" s="343">
        <f t="shared" si="120"/>
        <v>14235.559738248332</v>
      </c>
      <c r="J226" s="343">
        <f t="shared" si="120"/>
        <v>14206.289910236519</v>
      </c>
      <c r="K226" s="343">
        <f t="shared" si="120"/>
        <v>13519.809436868876</v>
      </c>
      <c r="L226" s="343">
        <f t="shared" si="120"/>
        <v>14266.946938569214</v>
      </c>
      <c r="M226" s="343">
        <f t="shared" si="120"/>
        <v>15112.227400704236</v>
      </c>
      <c r="N226" s="343">
        <f t="shared" si="120"/>
        <v>17470.769076034027</v>
      </c>
      <c r="O226" s="343">
        <f>SUM(C226:N226)</f>
        <v>184046.8437583696</v>
      </c>
    </row>
  </sheetData>
  <sheetProtection/>
  <conditionalFormatting sqref="B56:B75 B105:O124 C4:P5 C8:P8 O6:P7 C18:P20 O9:P17 C25:P28 O21:P24 C30:P79 O29:P29 P80:P97">
    <cfRule type="cellIs" priority="8" dxfId="0" operator="lessThan" stopIfTrue="1">
      <formula>0</formula>
    </cfRule>
  </conditionalFormatting>
  <conditionalFormatting sqref="C135:O153">
    <cfRule type="cellIs" priority="7" dxfId="0" operator="lessThan" stopIfTrue="1">
      <formula>0</formula>
    </cfRule>
  </conditionalFormatting>
  <conditionalFormatting sqref="C158:O177">
    <cfRule type="cellIs" priority="6" dxfId="0" operator="lessThan" stopIfTrue="1">
      <formula>0</formula>
    </cfRule>
  </conditionalFormatting>
  <conditionalFormatting sqref="C207:O226">
    <cfRule type="cellIs" priority="5" dxfId="0" operator="lessThan" stopIfTrue="1">
      <formula>0</formula>
    </cfRule>
  </conditionalFormatting>
  <conditionalFormatting sqref="C6:N7">
    <cfRule type="cellIs" priority="4" dxfId="0" operator="lessThan" stopIfTrue="1">
      <formula>0</formula>
    </cfRule>
  </conditionalFormatting>
  <conditionalFormatting sqref="C9:N17">
    <cfRule type="cellIs" priority="3" dxfId="0" operator="lessThan" stopIfTrue="1">
      <formula>0</formula>
    </cfRule>
  </conditionalFormatting>
  <conditionalFormatting sqref="C21:N24">
    <cfRule type="cellIs" priority="2" dxfId="0" operator="lessThan" stopIfTrue="1">
      <formula>0</formula>
    </cfRule>
  </conditionalFormatting>
  <conditionalFormatting sqref="C29:N29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3" horizontalDpi="600" verticalDpi="600" orientation="landscape" paperSize="17" scale="65" r:id="rId1"/>
  <rowBreaks count="1" manualBreakCount="1">
    <brk id="154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3:O32"/>
  <sheetViews>
    <sheetView view="pageBreakPreview" zoomScale="6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46" sqref="N46"/>
    </sheetView>
  </sheetViews>
  <sheetFormatPr defaultColWidth="9.140625" defaultRowHeight="12.75"/>
  <cols>
    <col min="1" max="1" width="24.8515625" style="313" bestFit="1" customWidth="1"/>
    <col min="2" max="2" width="19.00390625" style="313" bestFit="1" customWidth="1"/>
    <col min="3" max="3" width="18.00390625" style="313" bestFit="1" customWidth="1"/>
    <col min="4" max="4" width="17.7109375" style="313" bestFit="1" customWidth="1"/>
    <col min="5" max="5" width="18.421875" style="313" bestFit="1" customWidth="1"/>
    <col min="6" max="6" width="17.00390625" style="313" bestFit="1" customWidth="1"/>
    <col min="7" max="7" width="17.57421875" style="313" bestFit="1" customWidth="1"/>
    <col min="8" max="8" width="18.28125" style="313" bestFit="1" customWidth="1"/>
    <col min="9" max="9" width="17.57421875" style="313" bestFit="1" customWidth="1"/>
    <col min="10" max="10" width="18.00390625" style="313" bestFit="1" customWidth="1"/>
    <col min="11" max="11" width="17.7109375" style="313" bestFit="1" customWidth="1"/>
    <col min="12" max="12" width="18.28125" style="313" bestFit="1" customWidth="1"/>
    <col min="13" max="13" width="17.28125" style="313" bestFit="1" customWidth="1"/>
    <col min="14" max="14" width="21.28125" style="313" bestFit="1" customWidth="1"/>
    <col min="15" max="15" width="15.00390625" style="313" bestFit="1" customWidth="1"/>
    <col min="16" max="16384" width="9.140625" style="313" customWidth="1"/>
  </cols>
  <sheetData>
    <row r="3" spans="1:14" ht="12.75">
      <c r="A3" s="311" t="s">
        <v>96</v>
      </c>
      <c r="B3" s="312" t="s">
        <v>84</v>
      </c>
      <c r="C3" s="312" t="s">
        <v>85</v>
      </c>
      <c r="D3" s="312" t="s">
        <v>86</v>
      </c>
      <c r="E3" s="312" t="s">
        <v>87</v>
      </c>
      <c r="F3" s="312" t="s">
        <v>88</v>
      </c>
      <c r="G3" s="312" t="s">
        <v>89</v>
      </c>
      <c r="H3" s="312" t="s">
        <v>90</v>
      </c>
      <c r="I3" s="312" t="s">
        <v>91</v>
      </c>
      <c r="J3" s="312" t="s">
        <v>92</v>
      </c>
      <c r="K3" s="312" t="s">
        <v>93</v>
      </c>
      <c r="L3" s="312" t="s">
        <v>94</v>
      </c>
      <c r="M3" s="312" t="s">
        <v>95</v>
      </c>
      <c r="N3" s="312" t="s">
        <v>47</v>
      </c>
    </row>
    <row r="4" spans="1:14" ht="15.75">
      <c r="A4" s="314" t="s">
        <v>97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6"/>
    </row>
    <row r="5" ht="12.75">
      <c r="A5" s="317" t="s">
        <v>41</v>
      </c>
    </row>
    <row r="6" spans="1:14" ht="12.75">
      <c r="A6" s="318" t="s">
        <v>103</v>
      </c>
      <c r="B6" s="319">
        <v>487632612</v>
      </c>
      <c r="C6" s="319">
        <v>423794982</v>
      </c>
      <c r="D6" s="319">
        <v>424847000</v>
      </c>
      <c r="E6" s="319">
        <v>339368311</v>
      </c>
      <c r="F6" s="319">
        <v>307757480</v>
      </c>
      <c r="G6" s="319">
        <v>255014092</v>
      </c>
      <c r="H6" s="319">
        <v>257769050</v>
      </c>
      <c r="I6" s="319">
        <v>252895393</v>
      </c>
      <c r="J6" s="319">
        <v>252374466</v>
      </c>
      <c r="K6" s="319">
        <v>288401329</v>
      </c>
      <c r="L6" s="319">
        <v>333181649</v>
      </c>
      <c r="M6" s="319">
        <v>435576579</v>
      </c>
      <c r="N6" s="320">
        <f>SUM(B6:M6)</f>
        <v>4058612943</v>
      </c>
    </row>
    <row r="7" spans="1:14" ht="15">
      <c r="A7" s="318" t="s">
        <v>104</v>
      </c>
      <c r="B7" s="321">
        <v>30317794</v>
      </c>
      <c r="C7" s="321">
        <v>25583403</v>
      </c>
      <c r="D7" s="321">
        <v>25101634</v>
      </c>
      <c r="E7" s="321">
        <v>20372346</v>
      </c>
      <c r="F7" s="321">
        <v>15361044</v>
      </c>
      <c r="G7" s="321">
        <v>9723730</v>
      </c>
      <c r="H7" s="321">
        <v>8407416</v>
      </c>
      <c r="I7" s="321">
        <v>7813361</v>
      </c>
      <c r="J7" s="321">
        <v>8712810</v>
      </c>
      <c r="K7" s="321">
        <v>12264904</v>
      </c>
      <c r="L7" s="321">
        <v>18673297</v>
      </c>
      <c r="M7" s="321">
        <v>32264146</v>
      </c>
      <c r="N7" s="322">
        <f aca="true" t="shared" si="0" ref="N7:N17">SUM(B7:M7)</f>
        <v>214595885</v>
      </c>
    </row>
    <row r="8" spans="1:14" ht="12.75">
      <c r="A8" s="318" t="s">
        <v>105</v>
      </c>
      <c r="B8" s="320">
        <f>SUM(B6:B7)</f>
        <v>517950406</v>
      </c>
      <c r="C8" s="320">
        <f aca="true" t="shared" si="1" ref="C8:M8">SUM(C6:C7)</f>
        <v>449378385</v>
      </c>
      <c r="D8" s="320">
        <f t="shared" si="1"/>
        <v>449948634</v>
      </c>
      <c r="E8" s="320">
        <f t="shared" si="1"/>
        <v>359740657</v>
      </c>
      <c r="F8" s="320">
        <f t="shared" si="1"/>
        <v>323118524</v>
      </c>
      <c r="G8" s="320">
        <f t="shared" si="1"/>
        <v>264737822</v>
      </c>
      <c r="H8" s="320">
        <f t="shared" si="1"/>
        <v>266176466</v>
      </c>
      <c r="I8" s="320">
        <f t="shared" si="1"/>
        <v>260708754</v>
      </c>
      <c r="J8" s="320">
        <f t="shared" si="1"/>
        <v>261087276</v>
      </c>
      <c r="K8" s="320">
        <f t="shared" si="1"/>
        <v>300666233</v>
      </c>
      <c r="L8" s="320">
        <f t="shared" si="1"/>
        <v>351854946</v>
      </c>
      <c r="M8" s="320">
        <f t="shared" si="1"/>
        <v>467840725</v>
      </c>
      <c r="N8" s="320">
        <f t="shared" si="0"/>
        <v>4273208828</v>
      </c>
    </row>
    <row r="9" spans="1:14" ht="12.75">
      <c r="A9" s="313" t="s">
        <v>49</v>
      </c>
      <c r="B9" s="319">
        <v>25350380</v>
      </c>
      <c r="C9" s="319">
        <v>23281542</v>
      </c>
      <c r="D9" s="319">
        <v>22296756</v>
      </c>
      <c r="E9" s="319">
        <v>18910372</v>
      </c>
      <c r="F9" s="319">
        <v>17328027</v>
      </c>
      <c r="G9" s="319">
        <v>16501126</v>
      </c>
      <c r="H9" s="319">
        <v>17005597</v>
      </c>
      <c r="I9" s="319">
        <v>17119320</v>
      </c>
      <c r="J9" s="319">
        <v>15499534</v>
      </c>
      <c r="K9" s="319">
        <v>17286848</v>
      </c>
      <c r="L9" s="319">
        <v>18095813</v>
      </c>
      <c r="M9" s="319">
        <v>22601395</v>
      </c>
      <c r="N9" s="320">
        <f t="shared" si="0"/>
        <v>231276710</v>
      </c>
    </row>
    <row r="10" spans="1:14" ht="12.75">
      <c r="A10" s="313" t="s">
        <v>50</v>
      </c>
      <c r="B10" s="319">
        <v>233731870</v>
      </c>
      <c r="C10" s="319">
        <v>219216530</v>
      </c>
      <c r="D10" s="319">
        <v>225450381</v>
      </c>
      <c r="E10" s="319">
        <v>195069440</v>
      </c>
      <c r="F10" s="319">
        <v>183885923</v>
      </c>
      <c r="G10" s="319">
        <v>185945678</v>
      </c>
      <c r="H10" s="319">
        <v>201108310</v>
      </c>
      <c r="I10" s="319">
        <v>195548079</v>
      </c>
      <c r="J10" s="319">
        <v>181396558</v>
      </c>
      <c r="K10" s="319">
        <v>189718065</v>
      </c>
      <c r="L10" s="319">
        <v>198211137</v>
      </c>
      <c r="M10" s="319">
        <v>226012985</v>
      </c>
      <c r="N10" s="320">
        <f t="shared" si="0"/>
        <v>2435294956</v>
      </c>
    </row>
    <row r="11" spans="1:14" ht="12.75">
      <c r="A11" s="313" t="s">
        <v>51</v>
      </c>
      <c r="B11" s="319">
        <v>33328860.752079383</v>
      </c>
      <c r="C11" s="319">
        <v>30888390.817415975</v>
      </c>
      <c r="D11" s="319">
        <v>33708547.214987926</v>
      </c>
      <c r="E11" s="319">
        <v>30767511.165720105</v>
      </c>
      <c r="F11" s="319">
        <v>31838645.495567687</v>
      </c>
      <c r="G11" s="319">
        <v>31668710.809110425</v>
      </c>
      <c r="H11" s="319">
        <v>36217204.33176942</v>
      </c>
      <c r="I11" s="319">
        <v>36538317.64719338</v>
      </c>
      <c r="J11" s="319">
        <v>34106421.8017003</v>
      </c>
      <c r="K11" s="319">
        <v>33149632.087263584</v>
      </c>
      <c r="L11" s="319">
        <v>31995782.679635692</v>
      </c>
      <c r="M11" s="319">
        <v>32086901.846369065</v>
      </c>
      <c r="N11" s="320">
        <f t="shared" si="0"/>
        <v>396294926.64881295</v>
      </c>
    </row>
    <row r="12" spans="1:14" ht="12.75">
      <c r="A12" s="313" t="s">
        <v>52</v>
      </c>
      <c r="B12" s="319">
        <v>22559990</v>
      </c>
      <c r="C12" s="319">
        <v>21628035</v>
      </c>
      <c r="D12" s="319">
        <v>21692263</v>
      </c>
      <c r="E12" s="319">
        <v>20695342</v>
      </c>
      <c r="F12" s="319">
        <v>20858485</v>
      </c>
      <c r="G12" s="319">
        <v>21774886</v>
      </c>
      <c r="H12" s="319">
        <v>22134565</v>
      </c>
      <c r="I12" s="319">
        <v>22092959</v>
      </c>
      <c r="J12" s="319">
        <v>20651299</v>
      </c>
      <c r="K12" s="319">
        <v>19019936</v>
      </c>
      <c r="L12" s="319">
        <v>20861255</v>
      </c>
      <c r="M12" s="319">
        <v>24192447</v>
      </c>
      <c r="N12" s="320">
        <f t="shared" si="0"/>
        <v>258161462</v>
      </c>
    </row>
    <row r="13" spans="1:14" ht="12.75">
      <c r="A13" s="313" t="s">
        <v>53</v>
      </c>
      <c r="B13" s="319">
        <v>42924794</v>
      </c>
      <c r="C13" s="319">
        <v>38731287</v>
      </c>
      <c r="D13" s="319">
        <v>41332909</v>
      </c>
      <c r="E13" s="319">
        <v>41189684</v>
      </c>
      <c r="F13" s="319">
        <v>40699945</v>
      </c>
      <c r="G13" s="319">
        <v>42608416</v>
      </c>
      <c r="H13" s="319">
        <v>42569262</v>
      </c>
      <c r="I13" s="319">
        <v>42615259</v>
      </c>
      <c r="J13" s="319">
        <v>41507461</v>
      </c>
      <c r="K13" s="319">
        <v>41852580</v>
      </c>
      <c r="L13" s="319">
        <v>40987519</v>
      </c>
      <c r="M13" s="319">
        <v>41753120</v>
      </c>
      <c r="N13" s="320">
        <f t="shared" si="0"/>
        <v>498772236</v>
      </c>
    </row>
    <row r="14" spans="1:14" ht="12.75">
      <c r="A14" s="313" t="s">
        <v>54</v>
      </c>
      <c r="B14" s="319">
        <v>75072889.60709003</v>
      </c>
      <c r="C14" s="319">
        <v>70670316.53211789</v>
      </c>
      <c r="D14" s="319">
        <v>75866878.99042103</v>
      </c>
      <c r="E14" s="319">
        <v>74845426.3330389</v>
      </c>
      <c r="F14" s="319">
        <v>75136930.28546369</v>
      </c>
      <c r="G14" s="319">
        <v>71591986.79022299</v>
      </c>
      <c r="H14" s="319">
        <v>80192379.71697652</v>
      </c>
      <c r="I14" s="319">
        <v>85980264.1095886</v>
      </c>
      <c r="J14" s="319">
        <v>80787535.44207902</v>
      </c>
      <c r="K14" s="319">
        <v>79011213.30957845</v>
      </c>
      <c r="L14" s="319">
        <v>78956695.40128054</v>
      </c>
      <c r="M14" s="319">
        <v>73313108.20701583</v>
      </c>
      <c r="N14" s="320">
        <f t="shared" si="0"/>
        <v>921425624.7248735</v>
      </c>
    </row>
    <row r="15" spans="1:14" ht="12.75">
      <c r="A15" s="323" t="s">
        <v>58</v>
      </c>
      <c r="B15" s="319">
        <v>0</v>
      </c>
      <c r="C15" s="319">
        <v>0</v>
      </c>
      <c r="D15" s="319">
        <v>0</v>
      </c>
      <c r="E15" s="319">
        <v>0</v>
      </c>
      <c r="F15" s="319">
        <v>0</v>
      </c>
      <c r="G15" s="319">
        <v>0</v>
      </c>
      <c r="H15" s="319">
        <v>0</v>
      </c>
      <c r="I15" s="319">
        <v>0</v>
      </c>
      <c r="J15" s="319">
        <v>0</v>
      </c>
      <c r="K15" s="319">
        <v>0</v>
      </c>
      <c r="L15" s="319">
        <v>0</v>
      </c>
      <c r="M15" s="319">
        <v>0</v>
      </c>
      <c r="N15" s="320">
        <f t="shared" si="0"/>
        <v>0</v>
      </c>
    </row>
    <row r="16" spans="1:14" ht="12.75">
      <c r="A16" s="313" t="s">
        <v>55</v>
      </c>
      <c r="B16" s="319">
        <v>20071340.263615537</v>
      </c>
      <c r="C16" s="319">
        <v>19069836.71367786</v>
      </c>
      <c r="D16" s="319">
        <v>19061989.780719757</v>
      </c>
      <c r="E16" s="319">
        <v>15531403.471298236</v>
      </c>
      <c r="F16" s="319">
        <v>13912448.741475258</v>
      </c>
      <c r="G16" s="319">
        <v>12805970.192806112</v>
      </c>
      <c r="H16" s="319">
        <v>14127851.408430668</v>
      </c>
      <c r="I16" s="319">
        <v>13928312.249871012</v>
      </c>
      <c r="J16" s="319">
        <v>13605987.278301602</v>
      </c>
      <c r="K16" s="319">
        <v>14663127.751857175</v>
      </c>
      <c r="L16" s="319">
        <v>16406279.6581499</v>
      </c>
      <c r="M16" s="319">
        <v>19463928.490811862</v>
      </c>
      <c r="N16" s="320">
        <f t="shared" si="0"/>
        <v>192648476.00101495</v>
      </c>
    </row>
    <row r="17" spans="1:14" ht="15">
      <c r="A17" s="313" t="s">
        <v>56</v>
      </c>
      <c r="B17" s="321">
        <v>8768207</v>
      </c>
      <c r="C17" s="321">
        <v>8350150</v>
      </c>
      <c r="D17" s="321">
        <v>8753764</v>
      </c>
      <c r="E17" s="321">
        <v>8445311</v>
      </c>
      <c r="F17" s="321">
        <v>8948545</v>
      </c>
      <c r="G17" s="321">
        <v>8517428</v>
      </c>
      <c r="H17" s="321">
        <v>8371995</v>
      </c>
      <c r="I17" s="321">
        <v>8680159</v>
      </c>
      <c r="J17" s="321">
        <v>8767877</v>
      </c>
      <c r="K17" s="321">
        <v>8558656</v>
      </c>
      <c r="L17" s="321">
        <v>9087197</v>
      </c>
      <c r="M17" s="321">
        <v>9144150</v>
      </c>
      <c r="N17" s="322">
        <f t="shared" si="0"/>
        <v>104393439</v>
      </c>
    </row>
    <row r="18" spans="2:14" ht="12.75">
      <c r="B18" s="324">
        <f>SUM(B8:B17)</f>
        <v>979758737.6227849</v>
      </c>
      <c r="C18" s="324">
        <f aca="true" t="shared" si="2" ref="C18:M18">SUM(C8:C17)</f>
        <v>881214473.0632117</v>
      </c>
      <c r="D18" s="324">
        <f t="shared" si="2"/>
        <v>898112122.9861287</v>
      </c>
      <c r="E18" s="324">
        <f t="shared" si="2"/>
        <v>765195146.9700572</v>
      </c>
      <c r="F18" s="324">
        <f t="shared" si="2"/>
        <v>715727473.5225066</v>
      </c>
      <c r="G18" s="324">
        <f t="shared" si="2"/>
        <v>656152023.7921395</v>
      </c>
      <c r="H18" s="324">
        <f t="shared" si="2"/>
        <v>687903630.4571767</v>
      </c>
      <c r="I18" s="324">
        <f t="shared" si="2"/>
        <v>683211424.0066531</v>
      </c>
      <c r="J18" s="324">
        <f t="shared" si="2"/>
        <v>657409949.522081</v>
      </c>
      <c r="K18" s="324">
        <f t="shared" si="2"/>
        <v>703926291.1486992</v>
      </c>
      <c r="L18" s="324">
        <f t="shared" si="2"/>
        <v>766456624.7390661</v>
      </c>
      <c r="M18" s="324">
        <f t="shared" si="2"/>
        <v>916408760.5441967</v>
      </c>
      <c r="N18" s="325">
        <f>SUM(N8:N17)</f>
        <v>9311476658.374702</v>
      </c>
    </row>
    <row r="19" ht="12.75">
      <c r="N19" s="320"/>
    </row>
    <row r="20" spans="1:14" ht="12.75">
      <c r="A20" s="317" t="s">
        <v>100</v>
      </c>
      <c r="N20" s="320"/>
    </row>
    <row r="21" spans="1:15" ht="12.75">
      <c r="A21" s="313" t="s">
        <v>83</v>
      </c>
      <c r="B21" s="319">
        <v>15498000</v>
      </c>
      <c r="C21" s="319">
        <v>12474000</v>
      </c>
      <c r="D21" s="319">
        <v>15498000</v>
      </c>
      <c r="E21" s="319">
        <v>14490000</v>
      </c>
      <c r="F21" s="319">
        <v>15498000</v>
      </c>
      <c r="G21" s="319">
        <v>14490000</v>
      </c>
      <c r="H21" s="319">
        <v>15498000</v>
      </c>
      <c r="I21" s="319">
        <v>15498000</v>
      </c>
      <c r="J21" s="319">
        <v>14490000</v>
      </c>
      <c r="K21" s="319">
        <v>15498000</v>
      </c>
      <c r="L21" s="319">
        <v>14490000</v>
      </c>
      <c r="M21" s="319">
        <v>15498000</v>
      </c>
      <c r="N21" s="320">
        <f>SUM(B21:M21)</f>
        <v>178920000</v>
      </c>
      <c r="O21" s="320"/>
    </row>
    <row r="22" spans="1:14" ht="12.75">
      <c r="A22" s="323" t="s">
        <v>64</v>
      </c>
      <c r="B22" s="326">
        <v>990072</v>
      </c>
      <c r="C22" s="326">
        <v>1221360</v>
      </c>
      <c r="D22" s="326">
        <v>38165.95</v>
      </c>
      <c r="E22" s="326">
        <v>1461992</v>
      </c>
      <c r="F22" s="326">
        <v>441729</v>
      </c>
      <c r="G22" s="326">
        <v>576793.05</v>
      </c>
      <c r="H22" s="326">
        <v>1591343</v>
      </c>
      <c r="I22" s="326">
        <v>2833973</v>
      </c>
      <c r="J22" s="326">
        <v>6682206</v>
      </c>
      <c r="K22" s="326">
        <v>1466769.65</v>
      </c>
      <c r="L22" s="326">
        <v>1309936.4100000001</v>
      </c>
      <c r="M22" s="326">
        <v>200343</v>
      </c>
      <c r="N22" s="320">
        <f>SUM(B22:M22)</f>
        <v>18814683.06</v>
      </c>
    </row>
    <row r="23" spans="1:14" ht="12.75">
      <c r="A23" s="313" t="s">
        <v>120</v>
      </c>
      <c r="B23" s="319">
        <v>15750000</v>
      </c>
      <c r="C23" s="319">
        <v>15750000</v>
      </c>
      <c r="D23" s="319">
        <v>15750000</v>
      </c>
      <c r="E23" s="319">
        <v>15750000</v>
      </c>
      <c r="F23" s="319">
        <v>15750000</v>
      </c>
      <c r="G23" s="319">
        <v>15750000</v>
      </c>
      <c r="H23" s="319">
        <v>15750000</v>
      </c>
      <c r="I23" s="319">
        <v>15750000</v>
      </c>
      <c r="J23" s="319">
        <v>15750000</v>
      </c>
      <c r="K23" s="319">
        <v>15750000</v>
      </c>
      <c r="L23" s="319">
        <v>15750000</v>
      </c>
      <c r="M23" s="319">
        <v>15750000</v>
      </c>
      <c r="N23" s="320">
        <f>SUM(B23:M23)</f>
        <v>189000000</v>
      </c>
    </row>
    <row r="24" spans="1:14" ht="12.75">
      <c r="A24" s="313" t="s">
        <v>116</v>
      </c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0">
        <f>SUM(B24:M24)</f>
        <v>0</v>
      </c>
    </row>
    <row r="25" spans="1:14" ht="12.75">
      <c r="A25" s="313" t="s">
        <v>264</v>
      </c>
      <c r="B25" s="319">
        <v>27354740</v>
      </c>
      <c r="C25" s="319">
        <v>24707507</v>
      </c>
      <c r="D25" s="319">
        <v>27354740</v>
      </c>
      <c r="E25" s="319">
        <v>26472329</v>
      </c>
      <c r="F25" s="319">
        <v>27354740</v>
      </c>
      <c r="G25" s="319">
        <v>26472329</v>
      </c>
      <c r="H25" s="319">
        <v>27354740</v>
      </c>
      <c r="I25" s="319">
        <v>27354740</v>
      </c>
      <c r="J25" s="319">
        <v>26472329</v>
      </c>
      <c r="K25" s="319">
        <v>27354740</v>
      </c>
      <c r="L25" s="319">
        <v>26472329</v>
      </c>
      <c r="M25" s="319">
        <v>27354740</v>
      </c>
      <c r="N25" s="320">
        <f>SUM(B25:M25)</f>
        <v>322080003</v>
      </c>
    </row>
    <row r="26" spans="1:14" ht="12.75">
      <c r="A26" s="317" t="s">
        <v>109</v>
      </c>
      <c r="B26" s="324">
        <f>SUM(B21:B25)</f>
        <v>59592812</v>
      </c>
      <c r="C26" s="324">
        <f aca="true" t="shared" si="3" ref="C26:N26">SUM(C21:C25)</f>
        <v>54152867</v>
      </c>
      <c r="D26" s="324">
        <f t="shared" si="3"/>
        <v>58640905.95</v>
      </c>
      <c r="E26" s="324">
        <f t="shared" si="3"/>
        <v>58174321</v>
      </c>
      <c r="F26" s="324">
        <f t="shared" si="3"/>
        <v>59044469</v>
      </c>
      <c r="G26" s="324">
        <f t="shared" si="3"/>
        <v>57289122.05</v>
      </c>
      <c r="H26" s="324">
        <f t="shared" si="3"/>
        <v>60194083</v>
      </c>
      <c r="I26" s="324">
        <f t="shared" si="3"/>
        <v>61436713</v>
      </c>
      <c r="J26" s="324">
        <f t="shared" si="3"/>
        <v>63394535</v>
      </c>
      <c r="K26" s="324">
        <f t="shared" si="3"/>
        <v>60069509.65</v>
      </c>
      <c r="L26" s="324">
        <f t="shared" si="3"/>
        <v>58022265.41</v>
      </c>
      <c r="M26" s="324">
        <f t="shared" si="3"/>
        <v>58803083</v>
      </c>
      <c r="N26" s="324">
        <f t="shared" si="3"/>
        <v>708814686.06</v>
      </c>
    </row>
    <row r="27" ht="12.75">
      <c r="N27" s="320"/>
    </row>
    <row r="28" spans="1:15" ht="12.75">
      <c r="A28" s="317" t="s">
        <v>226</v>
      </c>
      <c r="B28" s="325">
        <f>B18+B26</f>
        <v>1039351549.6227849</v>
      </c>
      <c r="C28" s="325">
        <f aca="true" t="shared" si="4" ref="C28:M28">C18+C26</f>
        <v>935367340.0632117</v>
      </c>
      <c r="D28" s="325">
        <f t="shared" si="4"/>
        <v>956753028.9361287</v>
      </c>
      <c r="E28" s="325">
        <f t="shared" si="4"/>
        <v>823369467.9700572</v>
      </c>
      <c r="F28" s="325">
        <f t="shared" si="4"/>
        <v>774771942.5225066</v>
      </c>
      <c r="G28" s="325">
        <f t="shared" si="4"/>
        <v>713441145.8421395</v>
      </c>
      <c r="H28" s="325">
        <f t="shared" si="4"/>
        <v>748097713.4571767</v>
      </c>
      <c r="I28" s="325">
        <f t="shared" si="4"/>
        <v>744648137.0066531</v>
      </c>
      <c r="J28" s="325">
        <f t="shared" si="4"/>
        <v>720804484.522081</v>
      </c>
      <c r="K28" s="325">
        <f t="shared" si="4"/>
        <v>763995800.7986991</v>
      </c>
      <c r="L28" s="325">
        <f t="shared" si="4"/>
        <v>824478890.1490661</v>
      </c>
      <c r="M28" s="325">
        <f t="shared" si="4"/>
        <v>975211843.5441967</v>
      </c>
      <c r="N28" s="325">
        <f>N18+N26</f>
        <v>10020291344.434702</v>
      </c>
      <c r="O28" s="320"/>
    </row>
    <row r="29" ht="12.75">
      <c r="N29" s="320"/>
    </row>
    <row r="30" spans="1:14" ht="12.75">
      <c r="A30" s="328" t="s">
        <v>101</v>
      </c>
      <c r="B30" s="329">
        <v>965</v>
      </c>
      <c r="C30" s="329">
        <v>2975</v>
      </c>
      <c r="D30" s="329">
        <v>991</v>
      </c>
      <c r="E30" s="329">
        <v>2995</v>
      </c>
      <c r="F30" s="329">
        <v>2894</v>
      </c>
      <c r="G30" s="329">
        <v>2793</v>
      </c>
      <c r="H30" s="329">
        <v>974</v>
      </c>
      <c r="I30" s="329">
        <v>1987</v>
      </c>
      <c r="J30" s="329">
        <v>2787</v>
      </c>
      <c r="K30" s="329">
        <v>997</v>
      </c>
      <c r="L30" s="329">
        <v>4491</v>
      </c>
      <c r="M30" s="329">
        <v>4991</v>
      </c>
      <c r="N30" s="325">
        <f>SUM(B30:M30)</f>
        <v>29840</v>
      </c>
    </row>
    <row r="31" spans="1:14" ht="12.75">
      <c r="A31" s="328" t="s">
        <v>176</v>
      </c>
      <c r="B31" s="330">
        <v>29</v>
      </c>
      <c r="C31" s="330">
        <v>89</v>
      </c>
      <c r="D31" s="330">
        <v>30</v>
      </c>
      <c r="E31" s="330">
        <v>90</v>
      </c>
      <c r="F31" s="330">
        <v>87</v>
      </c>
      <c r="G31" s="330">
        <v>84</v>
      </c>
      <c r="H31" s="330">
        <v>29</v>
      </c>
      <c r="I31" s="330">
        <v>60</v>
      </c>
      <c r="J31" s="330">
        <v>84</v>
      </c>
      <c r="K31" s="330">
        <v>30</v>
      </c>
      <c r="L31" s="330">
        <v>135</v>
      </c>
      <c r="M31" s="330">
        <v>150</v>
      </c>
      <c r="N31" s="325">
        <f>SUM(B31:M31)</f>
        <v>897</v>
      </c>
    </row>
    <row r="32" spans="5:14" ht="12.75">
      <c r="E32" s="331"/>
      <c r="N32" s="320">
        <f>N30-N31</f>
        <v>28943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17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The Prime Group,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Seelye</dc:creator>
  <cp:keywords/>
  <dc:description/>
  <cp:lastModifiedBy>TODD, MELISSA</cp:lastModifiedBy>
  <cp:lastPrinted>2012-06-14T11:51:47Z</cp:lastPrinted>
  <dcterms:created xsi:type="dcterms:W3CDTF">2007-02-25T12:41:29Z</dcterms:created>
  <dcterms:modified xsi:type="dcterms:W3CDTF">2012-06-14T12:29:14Z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R_Responder">
    <vt:lpwstr>15</vt:lpwstr>
  </property>
  <property fmtid="{D5CDD505-2E9C-101B-9397-08002B2CF9AE}" pid="3" name="WorkflowCreationPath">
    <vt:lpwstr>ccae7124-5fa8-4cd4-971b-8551cd07147b,2;ccae7124-5fa8-4cd4-971b-8551cd07147b,2;</vt:lpwstr>
  </property>
  <property fmtid="{D5CDD505-2E9C-101B-9397-08002B2CF9AE}" pid="4" name="IR_Status">
    <vt:lpwstr>20</vt:lpwstr>
  </property>
  <property fmtid="{D5CDD505-2E9C-101B-9397-08002B2CF9AE}" pid="5" name="MetadataSecurityLog">
    <vt:lpwstr>&lt;Log Date="-8588610233866157525" Reason="ItemUpdated" Error=""&gt;&lt;Rule Message="" Name="Admin" /&gt;&lt;/Log&gt;</vt:lpwstr>
  </property>
  <property fmtid="{D5CDD505-2E9C-101B-9397-08002B2CF9AE}" pid="6" name="display_urn:schemas-microsoft-com:office:office#IR_Owner">
    <vt:lpwstr>GRUS, VOYTEK</vt:lpwstr>
  </property>
  <property fmtid="{D5CDD505-2E9C-101B-9397-08002B2CF9AE}" pid="7" name="IR_Received_Date">
    <vt:lpwstr>2012-06-11T00:00:00Z</vt:lpwstr>
  </property>
  <property fmtid="{D5CDD505-2E9C-101B-9397-08002B2CF9AE}" pid="8" name="IR_Filing_Date">
    <vt:lpwstr>2012-06-25T00:00:00Z</vt:lpwstr>
  </property>
  <property fmtid="{D5CDD505-2E9C-101B-9397-08002B2CF9AE}" pid="9" name="Order">
    <vt:lpwstr>88700.0000000000</vt:lpwstr>
  </property>
  <property fmtid="{D5CDD505-2E9C-101B-9397-08002B2CF9AE}" pid="10" name="IR_Owner">
    <vt:lpwstr>48</vt:lpwstr>
  </property>
  <property fmtid="{D5CDD505-2E9C-101B-9397-08002B2CF9AE}" pid="11" name="IR_Witness">
    <vt:lpwstr/>
  </property>
  <property fmtid="{D5CDD505-2E9C-101B-9397-08002B2CF9AE}" pid="12" name="display_urn:schemas-microsoft-com:office:office#IR_Writer">
    <vt:lpwstr>POWER, LISA</vt:lpwstr>
  </property>
  <property fmtid="{D5CDD505-2E9C-101B-9397-08002B2CF9AE}" pid="13" name="IR_Writer">
    <vt:lpwstr>343</vt:lpwstr>
  </property>
  <property fmtid="{D5CDD505-2E9C-101B-9397-08002B2CF9AE}" pid="14" name="IR_Context">
    <vt:lpwstr>20</vt:lpwstr>
  </property>
  <property fmtid="{D5CDD505-2E9C-101B-9397-08002B2CF9AE}" pid="15" name="IR_Subtopic">
    <vt:lpwstr>215</vt:lpwstr>
  </property>
  <property fmtid="{D5CDD505-2E9C-101B-9397-08002B2CF9AE}" pid="16" name="IR_Requester">
    <vt:lpwstr>9</vt:lpwstr>
  </property>
  <property fmtid="{D5CDD505-2E9C-101B-9397-08002B2CF9AE}" pid="17" name="IR_Review_Sort">
    <vt:lpwstr>CA IR 026-050</vt:lpwstr>
  </property>
  <property fmtid="{D5CDD505-2E9C-101B-9397-08002B2CF9AE}" pid="18" name="ContentType">
    <vt:lpwstr>Document</vt:lpwstr>
  </property>
  <property fmtid="{D5CDD505-2E9C-101B-9397-08002B2CF9AE}" pid="19" name="IR_Description_Field">
    <vt:lpwstr/>
  </property>
</Properties>
</file>