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341" windowWidth="18750" windowHeight="6585" tabRatio="929" activeTab="7"/>
  </bookViews>
  <sheets>
    <sheet name="BA Calculation" sheetId="1" r:id="rId1"/>
    <sheet name="AA Calculation" sheetId="2" r:id="rId2"/>
    <sheet name="Fuels Costs before Interest" sheetId="3" r:id="rId3"/>
    <sheet name="AE Calibration" sheetId="4" state="hidden" r:id="rId4"/>
    <sheet name="Monthly Fuel Cost Allocation" sheetId="5" r:id="rId5"/>
    <sheet name="Monthly Energy Allocators" sheetId="6" r:id="rId6"/>
    <sheet name="Data Inputs - 2010" sheetId="7" r:id="rId7"/>
    <sheet name="Data Inputs - 2011" sheetId="8" r:id="rId8"/>
    <sheet name="Data Inputs - 2012" sheetId="9" r:id="rId9"/>
  </sheets>
  <definedNames>
    <definedName name="AA_calculation" localSheetId="0">'BA Calculation'!$H$13:$AC$37</definedName>
    <definedName name="AA_calculation">'AA Calculation'!$C$14:$W$37</definedName>
    <definedName name="Actual_Fuel_Cost_bfr_Interest">'Fuels Costs before Interest'!$C$14:$AC$53</definedName>
    <definedName name="BA_calculations">'BA Calculation'!$C$12:$AC$37</definedName>
    <definedName name="FAMvsDSM">#REF!</definedName>
    <definedName name="_xlnm.Print_Area" localSheetId="1">'AA Calculation'!$A$1:$W$39</definedName>
    <definedName name="_xlnm.Print_Area" localSheetId="0">'BA Calculation'!$A$1:$AC$40</definedName>
    <definedName name="_xlnm.Print_Area" localSheetId="6">'Data Inputs - 2010'!$A$2:$O$163</definedName>
    <definedName name="_xlnm.Print_Area" localSheetId="7">'Data Inputs - 2011'!$A$3:$O$226</definedName>
    <definedName name="_xlnm.Print_Area" localSheetId="8">'Data Inputs - 2012'!$A$3:$N$31</definedName>
    <definedName name="_xlnm.Print_Area" localSheetId="2">'Fuels Costs before Interest'!$A$1:$AC$60</definedName>
    <definedName name="_xlnm.Print_Area" localSheetId="5">'Monthly Energy Allocators'!$A$1:$N$138</definedName>
    <definedName name="_xlnm.Print_Area" localSheetId="4">'Monthly Fuel Cost Allocation'!$A$1:$N$109</definedName>
    <definedName name="_xlnm.Print_Titles" localSheetId="1">'AA Calculation'!$A:$B,'AA Calculation'!$2:$13</definedName>
    <definedName name="_xlnm.Print_Titles" localSheetId="0">'BA Calculation'!$A:$B,'BA Calculation'!$2:$12</definedName>
    <definedName name="_xlnm.Print_Titles" localSheetId="6">'Data Inputs - 2010'!$3:$3</definedName>
    <definedName name="_xlnm.Print_Titles" localSheetId="7">'Data Inputs - 2011'!$3:$3</definedName>
    <definedName name="_xlnm.Print_Titles" localSheetId="2">'Fuels Costs before Interest'!$A:$B,'Fuels Costs before Interest'!$2:$13</definedName>
    <definedName name="_xlnm.Print_Titles" localSheetId="5">'Monthly Energy Allocators'!$1:$1</definedName>
    <definedName name="_xlnm.Print_Titles" localSheetId="4">'Monthly Fuel Cost Allocation'!$3:$3</definedName>
    <definedName name="solver_adj" localSheetId="3" hidden="1">'AE Calibration'!$G$5</definedName>
    <definedName name="solver_adj" localSheetId="4" hidden="1">'AE Calibration'!$D$5:$D$6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0</definedName>
    <definedName name="solver_num" localSheetId="4" hidden="1">0</definedName>
    <definedName name="solver_nwt" localSheetId="3" hidden="1">1</definedName>
    <definedName name="solver_nwt" localSheetId="4" hidden="1">1</definedName>
    <definedName name="solver_opt" localSheetId="3" hidden="1">'AE Calibration'!$E$8</definedName>
    <definedName name="solver_opt" localSheetId="4" hidden="1">'Monthly Fuel Cost Allocation'!#REF!</definedName>
    <definedName name="solver_pre" localSheetId="3" hidden="1">0.000001</definedName>
    <definedName name="solver_pre" localSheetId="4" hidden="1">0.000001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1</definedName>
    <definedName name="solver_typ" localSheetId="4" hidden="1">1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<sst xmlns="http://schemas.openxmlformats.org/spreadsheetml/2006/main" count="930" uniqueCount="351">
  <si>
    <t>``</t>
  </si>
  <si>
    <t>COLUMN</t>
  </si>
  <si>
    <t>C</t>
  </si>
  <si>
    <t>D</t>
  </si>
  <si>
    <t>E</t>
  </si>
  <si>
    <t>F</t>
  </si>
  <si>
    <t>G</t>
  </si>
  <si>
    <t>FORMULA</t>
  </si>
  <si>
    <t>Rate Class</t>
  </si>
  <si>
    <t>kWhs Sales</t>
  </si>
  <si>
    <t>cents per kWh</t>
  </si>
  <si>
    <t xml:space="preserve">    Residential non ETS</t>
  </si>
  <si>
    <t xml:space="preserve">    Residential ETS</t>
  </si>
  <si>
    <t xml:space="preserve">    Small General</t>
  </si>
  <si>
    <t xml:space="preserve">    General Demand</t>
  </si>
  <si>
    <t xml:space="preserve">    Large General</t>
  </si>
  <si>
    <t xml:space="preserve">    Small Industrial</t>
  </si>
  <si>
    <t xml:space="preserve">    Medium Industrial</t>
  </si>
  <si>
    <t xml:space="preserve">    Large Industrial</t>
  </si>
  <si>
    <t xml:space="preserve">    Municipal</t>
  </si>
  <si>
    <t>I</t>
  </si>
  <si>
    <t>H</t>
  </si>
  <si>
    <t>J</t>
  </si>
  <si>
    <r>
      <t xml:space="preserve">    Residential Subtotal </t>
    </r>
    <r>
      <rPr>
        <vertAlign val="superscript"/>
        <sz val="10"/>
        <rFont val="Arial"/>
        <family val="2"/>
      </rPr>
      <t>2</t>
    </r>
  </si>
  <si>
    <t>Line #</t>
  </si>
  <si>
    <t>K</t>
  </si>
  <si>
    <r>
      <t xml:space="preserve">    Unmetered</t>
    </r>
    <r>
      <rPr>
        <vertAlign val="superscript"/>
        <sz val="10"/>
        <rFont val="Arial"/>
        <family val="2"/>
      </rPr>
      <t>(3)</t>
    </r>
  </si>
  <si>
    <t>Relative Share</t>
  </si>
  <si>
    <t>L</t>
  </si>
  <si>
    <t>M</t>
  </si>
  <si>
    <t xml:space="preserve">   ATL Subtotal / Average</t>
  </si>
  <si>
    <t>Export Revenues</t>
  </si>
  <si>
    <t>NA</t>
  </si>
  <si>
    <t>Grand Total</t>
  </si>
  <si>
    <t>Mersey S.</t>
  </si>
  <si>
    <t xml:space="preserve">GRLF </t>
  </si>
  <si>
    <t>O</t>
  </si>
  <si>
    <t xml:space="preserve">Fuel Costs used for FAM purposes </t>
  </si>
  <si>
    <t>Adjusted for R/C ratio and Unbalanced</t>
  </si>
  <si>
    <t>Fuel-related  C o s t s   f r o m   C O S</t>
  </si>
  <si>
    <t xml:space="preserve">Adjusted for R/C ratio and Balanced </t>
  </si>
  <si>
    <t>P</t>
  </si>
  <si>
    <t xml:space="preserve">    ELI 2P-RTP (base rate)</t>
  </si>
  <si>
    <t>ATL Classes</t>
  </si>
  <si>
    <t>Total subject to FAM adj. (ATL and AE)</t>
  </si>
  <si>
    <t>Variable</t>
  </si>
  <si>
    <t xml:space="preserve"> Total</t>
  </si>
  <si>
    <t>Fuel Costs before Purchased Power</t>
  </si>
  <si>
    <t>Cost Allocation Factors</t>
  </si>
  <si>
    <t>Total</t>
  </si>
  <si>
    <t>Fuel Costs net of Purchased Power</t>
  </si>
  <si>
    <t xml:space="preserve">   Mersey System</t>
  </si>
  <si>
    <t>Small General</t>
  </si>
  <si>
    <t>General</t>
  </si>
  <si>
    <t>Large General</t>
  </si>
  <si>
    <t>Small Industrial</t>
  </si>
  <si>
    <t>Medium Industrial</t>
  </si>
  <si>
    <t>Large Industrial</t>
  </si>
  <si>
    <t>Municipal</t>
  </si>
  <si>
    <t>Unmetered</t>
  </si>
  <si>
    <t>Domestic</t>
  </si>
  <si>
    <t>ELI 2P-RTP</t>
  </si>
  <si>
    <t>Sales (MWhs)</t>
  </si>
  <si>
    <t>ATL Total</t>
  </si>
  <si>
    <t>Line Loss Factors from the most recent rate case</t>
  </si>
  <si>
    <t>Requirements (kWhs)</t>
  </si>
  <si>
    <t>Fuel Cost Allocators</t>
  </si>
  <si>
    <t>GRLF</t>
  </si>
  <si>
    <t xml:space="preserve">  kWh Sales</t>
  </si>
  <si>
    <t xml:space="preserve">  Admin Charge Revenues</t>
  </si>
  <si>
    <t xml:space="preserve">  Total Revenues</t>
  </si>
  <si>
    <t xml:space="preserve">   Fuel Costs</t>
  </si>
  <si>
    <t xml:space="preserve">    kWh Sales </t>
  </si>
  <si>
    <t>BTL Fuel-related costs</t>
  </si>
  <si>
    <t xml:space="preserve">ATL-related Fuel costs </t>
  </si>
  <si>
    <t xml:space="preserve">    Subtotal</t>
  </si>
  <si>
    <t>Fuel costs before PP</t>
  </si>
  <si>
    <t>N</t>
  </si>
  <si>
    <t>R</t>
  </si>
  <si>
    <t>S</t>
  </si>
  <si>
    <t>T</t>
  </si>
  <si>
    <t>Fixed</t>
  </si>
  <si>
    <t xml:space="preserve"> Energy-related</t>
  </si>
  <si>
    <t>Demand-related</t>
  </si>
  <si>
    <t>KW Demand</t>
  </si>
  <si>
    <t>Relative Shares</t>
  </si>
  <si>
    <t>3 CP Demands</t>
  </si>
  <si>
    <t>Energy Requirement</t>
  </si>
  <si>
    <t>KWh Energy</t>
  </si>
  <si>
    <t>Large Industrial Class</t>
  </si>
  <si>
    <t xml:space="preserve">       Fuel costs bfr PP</t>
  </si>
  <si>
    <t xml:space="preserve">       Exports</t>
  </si>
  <si>
    <t xml:space="preserve">      Total Fuel Costs</t>
  </si>
  <si>
    <t xml:space="preserve">       Costs</t>
  </si>
  <si>
    <t xml:space="preserve">    Revenue</t>
  </si>
  <si>
    <t>AE</t>
  </si>
  <si>
    <t>Escalators</t>
  </si>
  <si>
    <t>Delta</t>
  </si>
  <si>
    <t>Rebalancing of Aditional Energy Fuels</t>
  </si>
  <si>
    <t>Current</t>
  </si>
  <si>
    <t xml:space="preserve">   Purchased Power costs</t>
  </si>
  <si>
    <t>LI</t>
  </si>
  <si>
    <t xml:space="preserve">       kWhs</t>
  </si>
  <si>
    <t xml:space="preserve">      Unit Fuel Cost incl Exports</t>
  </si>
  <si>
    <t>GRA</t>
  </si>
  <si>
    <t xml:space="preserve">      Total Fuel Costs bfr R/C ratio</t>
  </si>
  <si>
    <t>Fuel Costs bfr PP incl. Expot B.</t>
  </si>
  <si>
    <t xml:space="preserve">Unit Costs </t>
  </si>
  <si>
    <t>Additional Energy</t>
  </si>
  <si>
    <t xml:space="preserve">    KWhs</t>
  </si>
  <si>
    <t>AE Current</t>
  </si>
  <si>
    <t>AE Last GRA</t>
  </si>
  <si>
    <t>Unit Cost Index</t>
  </si>
  <si>
    <t>Fuels +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</si>
  <si>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</si>
  <si>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</si>
  <si>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</si>
  <si>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</si>
  <si>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</si>
  <si>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</si>
  <si>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</si>
  <si>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</si>
  <si>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</si>
  <si>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</si>
  <si>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</si>
  <si>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</si>
  <si>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</t>
  </si>
  <si>
    <t>kWh Sales</t>
  </si>
  <si>
    <t>Revenues</t>
  </si>
  <si>
    <t>BTL with AE (direct expenses)</t>
  </si>
  <si>
    <t>BTL Classes</t>
  </si>
  <si>
    <t>Export kWh Sales</t>
  </si>
  <si>
    <t xml:space="preserve"> Export kWh Sales</t>
  </si>
  <si>
    <t>Domestic Non-TOU</t>
  </si>
  <si>
    <t>Domestic TOU</t>
  </si>
  <si>
    <t>Domestic Total</t>
  </si>
  <si>
    <t>BTL</t>
  </si>
  <si>
    <t>Exports</t>
  </si>
  <si>
    <t>ATL</t>
  </si>
  <si>
    <t>BTL Total</t>
  </si>
  <si>
    <t>Mersey</t>
  </si>
  <si>
    <t>Total w/o exports</t>
  </si>
  <si>
    <t>Purchased Power Regular</t>
  </si>
  <si>
    <t>Purchased Power Wind</t>
  </si>
  <si>
    <t xml:space="preserve">  DSM-related Revenues</t>
  </si>
  <si>
    <t>DSM Unit Costs</t>
  </si>
  <si>
    <t xml:space="preserve">   PP Regular Unit Costs</t>
  </si>
  <si>
    <t xml:space="preserve">   PP Regular Costs</t>
  </si>
  <si>
    <t xml:space="preserve">   PP Wind Unit Costs</t>
  </si>
  <si>
    <t xml:space="preserve">   PP Wind Costs</t>
  </si>
  <si>
    <t xml:space="preserve">   Section 2D kWhs</t>
  </si>
  <si>
    <t>Mersey Section 2D related</t>
  </si>
  <si>
    <t xml:space="preserve">       PP Regular</t>
  </si>
  <si>
    <t>Unit Costs of PP Regular</t>
  </si>
  <si>
    <t>Unit Costs of PP Wind</t>
  </si>
  <si>
    <t xml:space="preserve">       PP Wind</t>
  </si>
  <si>
    <t xml:space="preserve">         PP Wind</t>
  </si>
  <si>
    <t>Variance</t>
  </si>
  <si>
    <t>Index</t>
  </si>
  <si>
    <t>Most recent GRA info on LI AE Mersey</t>
  </si>
  <si>
    <t>Current Information on AE &amp; Mersey</t>
  </si>
  <si>
    <t>Subtotal</t>
  </si>
  <si>
    <t>Mersey S. Section 2D &amp; 11</t>
  </si>
  <si>
    <t>Mersey System Total</t>
  </si>
  <si>
    <t>Fuel Related - Water Royalties</t>
  </si>
  <si>
    <t>Fuel-related costs sections 2D and 11</t>
  </si>
  <si>
    <t>Mersey contract Water Royalties</t>
  </si>
  <si>
    <t xml:space="preserve">    PP Wind</t>
  </si>
  <si>
    <t xml:space="preserve">    PP Regular</t>
  </si>
  <si>
    <t>U</t>
  </si>
  <si>
    <t>V</t>
  </si>
  <si>
    <t>Q</t>
  </si>
  <si>
    <t>W</t>
  </si>
  <si>
    <t>Z</t>
  </si>
  <si>
    <t>X</t>
  </si>
  <si>
    <t>% Var</t>
  </si>
  <si>
    <t>Y</t>
  </si>
  <si>
    <t>K + L</t>
  </si>
  <si>
    <t>J + K + l</t>
  </si>
  <si>
    <t>P + Q</t>
  </si>
  <si>
    <t>O + P + Q</t>
  </si>
  <si>
    <t>I + N + S</t>
  </si>
  <si>
    <t>Annual</t>
  </si>
  <si>
    <t xml:space="preserve">    14 MW block</t>
  </si>
  <si>
    <t xml:space="preserve">    Sections 2D and 11</t>
  </si>
  <si>
    <t xml:space="preserve">   GRLF </t>
  </si>
  <si>
    <t xml:space="preserve">   ELI 2P-RTP (debits &amp; credits only)</t>
  </si>
  <si>
    <t xml:space="preserve">   Mersey Basic Block  (Energy entitlements)</t>
  </si>
  <si>
    <t>Total Fuel Costs</t>
  </si>
  <si>
    <t>2P-RTP Decrem. Energy Rev</t>
  </si>
  <si>
    <t>2P-RTP Increment. Energy Rev</t>
  </si>
  <si>
    <t>Adjusted CBL</t>
  </si>
  <si>
    <t>2 PT RTP Incremental Energy Charges</t>
  </si>
  <si>
    <t>2 PT RTP Decremental Energy Rebates</t>
  </si>
  <si>
    <t>ELI-2P-RTP credits against MAE</t>
  </si>
  <si>
    <t>kWhs</t>
  </si>
  <si>
    <t>Average</t>
  </si>
  <si>
    <t>aft R/C ratio</t>
  </si>
  <si>
    <t>Recovered Fuel Costs</t>
  </si>
  <si>
    <t>Unit Fuel rates</t>
  </si>
  <si>
    <t>Variance in Fuel Costs before Interest and Incentive</t>
  </si>
  <si>
    <t>Incentive Amount</t>
  </si>
  <si>
    <t>Interest Amount</t>
  </si>
  <si>
    <t>Adjustment after interest</t>
  </si>
  <si>
    <t>Actual Adjustment</t>
  </si>
  <si>
    <t>Cents per KWh</t>
  </si>
  <si>
    <t>Actual Fuel Costs</t>
  </si>
  <si>
    <t>Relative shares in total Variance</t>
  </si>
  <si>
    <t>Variance in Fuel Costs before  Incentive</t>
  </si>
  <si>
    <t xml:space="preserve">Variance in Fuel Costs </t>
  </si>
  <si>
    <t>Variance (debit/credit)</t>
  </si>
  <si>
    <t xml:space="preserve">  Debits</t>
  </si>
  <si>
    <t xml:space="preserve">  Credits</t>
  </si>
  <si>
    <t>OM&amp;G (Solid Fuel Handling) recovered in fuels</t>
  </si>
  <si>
    <t>Foreign Exchange (Fuel-related)</t>
  </si>
  <si>
    <t>Foreign Exchange</t>
  </si>
  <si>
    <t>ELI 2P-RTP Debits\Credits</t>
  </si>
  <si>
    <t>Export kWh Losses</t>
  </si>
  <si>
    <t>NSR</t>
  </si>
  <si>
    <t>In-province Sales</t>
  </si>
  <si>
    <t>Total Sales</t>
  </si>
  <si>
    <t>NSR check</t>
  </si>
  <si>
    <t>NSR simulated</t>
  </si>
  <si>
    <t>NSR actual</t>
  </si>
  <si>
    <t>NSR correction factor</t>
  </si>
  <si>
    <t>OM&amp;G costs recovered in fuels</t>
  </si>
  <si>
    <t>Total Fuel-related costs before Exports, OM&amp;G and Foreign Exchange</t>
  </si>
  <si>
    <t xml:space="preserve">Total Fuel-related costs </t>
  </si>
  <si>
    <t>Simulated Collected Fuel Costs</t>
  </si>
  <si>
    <t>Bal. Factor</t>
  </si>
  <si>
    <t>AA</t>
  </si>
  <si>
    <t>AB</t>
  </si>
  <si>
    <t>T + U + V + W</t>
  </si>
  <si>
    <t>X x C</t>
  </si>
  <si>
    <t>AA / H</t>
  </si>
  <si>
    <t>D - E</t>
  </si>
  <si>
    <t>F + J</t>
  </si>
  <si>
    <t>K + M</t>
  </si>
  <si>
    <t xml:space="preserve">   Above the line Subtotal / Average</t>
  </si>
  <si>
    <t>Above the line Classes</t>
  </si>
  <si>
    <t>Adjustment after Incentive</t>
  </si>
  <si>
    <t>Above-the-line Classes</t>
  </si>
  <si>
    <t>Puchased Power Allocation Factors.</t>
  </si>
  <si>
    <t>Below-the-line before Additional Energy</t>
  </si>
  <si>
    <t>Total subject to FAM adj. (Above-the-line &amp; Additional Energy)</t>
  </si>
  <si>
    <t>Subtotal (BTL before AE &amp; Exports)</t>
  </si>
  <si>
    <t xml:space="preserve">   Total Below-the-line before Additional Energy</t>
  </si>
  <si>
    <t>kWh Sales before S 2D and 11</t>
  </si>
  <si>
    <t xml:space="preserve">   Fuel Unit Costs before S2D&amp;11</t>
  </si>
  <si>
    <t xml:space="preserve">   Fuel Costs before S2D&amp;12</t>
  </si>
  <si>
    <t xml:space="preserve">    Fuel Cost before PP</t>
  </si>
  <si>
    <t xml:space="preserve">    Total Fuel costs before PP</t>
  </si>
  <si>
    <t xml:space="preserve">    BTL Fuel Cost before PP</t>
  </si>
  <si>
    <t>Total Fuel Costs before Stora Loss</t>
  </si>
  <si>
    <t xml:space="preserve">       Unit Fuel costs before PP</t>
  </si>
  <si>
    <t xml:space="preserve">       Fuel costs before PP</t>
  </si>
  <si>
    <t xml:space="preserve">    Fuel Costs before PP</t>
  </si>
  <si>
    <t xml:space="preserve">    Fuel Unit Cost before PP</t>
  </si>
  <si>
    <t xml:space="preserve">    Fuel Costs  before PP</t>
  </si>
  <si>
    <t>GR</t>
  </si>
  <si>
    <t>LF</t>
  </si>
  <si>
    <t>Unit base fuel cost current</t>
  </si>
  <si>
    <t>% Change</t>
  </si>
  <si>
    <t xml:space="preserve">   Additional Energy</t>
  </si>
  <si>
    <t xml:space="preserve">    Residential Subtotal </t>
  </si>
  <si>
    <t xml:space="preserve">    Unmetered</t>
  </si>
  <si>
    <t xml:space="preserve">    Residential Subtotal</t>
  </si>
  <si>
    <t>Total Debits\Credits</t>
  </si>
  <si>
    <t>ELI 2P-RTP (Adjusted CBL)</t>
  </si>
  <si>
    <t>-</t>
  </si>
  <si>
    <t>+</t>
  </si>
  <si>
    <t>AA predicated on actual numbers</t>
  </si>
  <si>
    <t>Actual AA Collections</t>
  </si>
  <si>
    <t>Additional Energy (BTL) Rate Class</t>
  </si>
  <si>
    <t>Mersey Basic Block Fuel costs under section 2 C/D</t>
  </si>
  <si>
    <t>Forecast kWh Sales (1)</t>
  </si>
  <si>
    <t>(1)  Source:  Forecast Data for 2010</t>
  </si>
  <si>
    <t>AE Total</t>
  </si>
  <si>
    <t>FAM Classes Total</t>
  </si>
  <si>
    <t>In-Province Total</t>
  </si>
  <si>
    <t>FOR THE YEAR ENDING DECEMBER 31, 2010</t>
  </si>
  <si>
    <t>Cost of Service BA Calculations</t>
  </si>
  <si>
    <t xml:space="preserve">Allocation of Actual Fuel-related Costs among Rate Classes </t>
  </si>
  <si>
    <t>Simulated Interest expense calculations</t>
  </si>
  <si>
    <t>WACC</t>
  </si>
  <si>
    <t>Actual Fuel-related Cost Collections</t>
  </si>
  <si>
    <t>Interest Expense</t>
  </si>
  <si>
    <t>Forgone Collections</t>
  </si>
  <si>
    <t>Cost of Service Final AA Calculations as an input into 2012 BA</t>
  </si>
  <si>
    <t>FOR THE YEAR ENDING DECEMBER 31, 2012</t>
  </si>
  <si>
    <t>FOR THE YEAR ENDING DECEMBER 31, 2011</t>
  </si>
  <si>
    <t>Actual Fuel-related Costs</t>
  </si>
  <si>
    <t>Cum Variance</t>
  </si>
  <si>
    <t>Fuel Cost Deferral</t>
  </si>
  <si>
    <t>Deferred Amount for recovery in 2012 and 2013</t>
  </si>
  <si>
    <t>Proposed Amount for recovery in 2011</t>
  </si>
  <si>
    <t>DSM revenue</t>
  </si>
  <si>
    <t>GRLF Admin</t>
  </si>
  <si>
    <t>Fuel-related</t>
  </si>
  <si>
    <t>ELI2P-RTP Debits\Credits</t>
  </si>
  <si>
    <t>Simulated Collected Fuel Costs for incentive calculations</t>
  </si>
  <si>
    <t>Deferred Amount from 2011 FAM AA proceeding</t>
  </si>
  <si>
    <t>$14.5 million rebate</t>
  </si>
  <si>
    <t>Rebate</t>
  </si>
  <si>
    <t>Adjustment after rebate</t>
  </si>
  <si>
    <t>Reallocation of NPPH's BA Contribution to all rate classes</t>
  </si>
  <si>
    <t>Allocation of NPPH BA Share</t>
  </si>
  <si>
    <t>Adjustment after reallocation of NPPH Share</t>
  </si>
  <si>
    <t>N - P</t>
  </si>
  <si>
    <t>S / U</t>
  </si>
  <si>
    <t>P x 3/5</t>
  </si>
  <si>
    <t>P x 2/5</t>
  </si>
  <si>
    <t>Actual BA Collections</t>
  </si>
  <si>
    <t>Simulated BA Collected Fuel Costs</t>
  </si>
  <si>
    <t>BA 2011 Collections</t>
  </si>
  <si>
    <t>BA predicated on actual numbers</t>
  </si>
  <si>
    <t>A</t>
  </si>
  <si>
    <t>B</t>
  </si>
  <si>
    <t>C + F+ G</t>
  </si>
  <si>
    <t>H + K</t>
  </si>
  <si>
    <t>AA 2011 Collections</t>
  </si>
  <si>
    <t>E - D</t>
  </si>
  <si>
    <t>H / E</t>
  </si>
  <si>
    <t>M x N (Line 30)</t>
  </si>
  <si>
    <t>L + N</t>
  </si>
  <si>
    <t>O - Q</t>
  </si>
  <si>
    <t>R / S</t>
  </si>
  <si>
    <t>F / E</t>
  </si>
  <si>
    <t>F / F (Line 32)</t>
  </si>
  <si>
    <t>H x J (line 32)</t>
  </si>
  <si>
    <t>H x M (line 32)</t>
  </si>
  <si>
    <t>F / F (Line 29)</t>
  </si>
  <si>
    <t>R/C Ratio as per 2009 CF</t>
  </si>
  <si>
    <t>Adjusted Relative Share (1)</t>
  </si>
  <si>
    <t>(1) Relative Shares (Column J) have been adjusted for the absence of New Page.  This adjustment is based on kilowatt sales</t>
  </si>
  <si>
    <t>(2)  Source: 2012 GRA Refresh filed on August 31st</t>
  </si>
  <si>
    <t>Forecast kWh Sales (2)</t>
  </si>
  <si>
    <t>Above the line Subtotal /    Average</t>
  </si>
  <si>
    <t>P x Q      (Line 30)</t>
  </si>
  <si>
    <t>H / H      (Line 30)</t>
  </si>
  <si>
    <t>J x K                 (line 30)</t>
  </si>
  <si>
    <t>G x J       (line 29)</t>
  </si>
  <si>
    <t>G x K           (line 29)</t>
  </si>
  <si>
    <t>E x L            (line 29)</t>
  </si>
  <si>
    <t>G * O             (line 29)</t>
  </si>
  <si>
    <t>G X P           (line 29)</t>
  </si>
  <si>
    <t>E X Q           (line 29)</t>
  </si>
  <si>
    <t>G * U             (line 29)</t>
  </si>
  <si>
    <t>G * V           (line 29)</t>
  </si>
  <si>
    <t>G * W            (line 29)</t>
  </si>
  <si>
    <t>D / D       (Line 29)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</si>
</sst>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[$$-409]#,##0;[Red]\-[$$-409]#,##0"/>
    <numFmt numFmtId="170" formatCode="0.0%"/>
    <numFmt numFmtId="171" formatCode="[$$-1009]#,##0"/>
    <numFmt numFmtId="172" formatCode="&quot;$&quot;#,##0.00000_);\(&quot;$&quot;#,##0.00000\)"/>
    <numFmt numFmtId="173" formatCode="[$$-1009]#,##0.0000"/>
    <numFmt numFmtId="174" formatCode="&quot;$&quot;#,##0.000000_);\(&quot;$&quot;#,##0.000000\)"/>
    <numFmt numFmtId="175" formatCode="[$$-409]#,##0.00;[Red][$$-409]#,##0.00"/>
    <numFmt numFmtId="176" formatCode="&quot;$&quot;#,##0.00"/>
    <numFmt numFmtId="177" formatCode="#,##0.0"/>
    <numFmt numFmtId="178" formatCode="#,##0.000000"/>
    <numFmt numFmtId="179" formatCode="_-* #,##0.00_-;\-* #,##0.00_-;_-* &quot;-&quot;??_-;_-@_-"/>
    <numFmt numFmtId="180" formatCode="_-&quot;$&quot;* #,##0.00_-;\-&quot;$&quot;* #,##0.00_-;_-&quot;$&quot;* &quot;-&quot;??_-;_-@_-"/>
    <numFmt numFmtId="181" formatCode="_-* #,##0_-;\-* #,##0_-;_-* &quot;-&quot;??_-;_-@_-"/>
    <numFmt numFmtId="182" formatCode="0.000%"/>
    <numFmt numFmtId="183" formatCode="#,##0.0000_);\(#,##0.0000\)"/>
    <numFmt numFmtId="184" formatCode="&quot;$&quot;#,##0.000_);\(&quot;$&quot;#,##0.000\)"/>
    <numFmt numFmtId="185" formatCode="_(&quot;$&quot;* #,##0.000_);_(&quot;$&quot;* \(#,##0.000\);_(&quot;$&quot;* &quot;-&quot;??_);_(@_)"/>
    <numFmt numFmtId="186" formatCode="_-&quot;$&quot;* #,##0_-;\-&quot;$&quot;* #,##0_-;_-&quot;$&quot;* &quot;-&quot;??_-;_-@_-"/>
    <numFmt numFmtId="187" formatCode="&quot;$&quot;#,##0"/>
    <numFmt numFmtId="188" formatCode="[$$-409]#,##0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Accounting"/>
      <sz val="9"/>
      <name val="Arial"/>
      <family val="2"/>
    </font>
    <font>
      <u val="single"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sz val="9"/>
      <color indexed="8"/>
      <name val="Arial"/>
      <family val="2"/>
    </font>
    <font>
      <u val="doubleAccounting"/>
      <sz val="9"/>
      <name val="Arial"/>
      <family val="2"/>
    </font>
    <font>
      <u val="doubleAccounting"/>
      <sz val="9"/>
      <color indexed="8"/>
      <name val="Arial"/>
      <family val="2"/>
    </font>
    <font>
      <b/>
      <u val="doubleAccounting"/>
      <sz val="9"/>
      <color indexed="8"/>
      <name val="Arial"/>
      <family val="2"/>
    </font>
    <font>
      <b/>
      <u val="doubleAccounting"/>
      <sz val="9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doubleAccounting"/>
      <sz val="1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sz val="48"/>
      <name val="Arial"/>
      <family val="2"/>
    </font>
    <font>
      <b/>
      <sz val="40"/>
      <name val="Arial"/>
      <family val="2"/>
    </font>
    <font>
      <sz val="10"/>
      <name val="Arial MT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40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40" fontId="41" fillId="24" borderId="0">
      <alignment horizontal="right"/>
      <protection/>
    </xf>
    <xf numFmtId="0" fontId="42" fillId="24" borderId="0">
      <alignment horizontal="right"/>
      <protection/>
    </xf>
    <xf numFmtId="0" fontId="43" fillId="24" borderId="9">
      <alignment/>
      <protection/>
    </xf>
    <xf numFmtId="0" fontId="43" fillId="0" borderId="0" applyBorder="0">
      <alignment horizontal="centerContinuous"/>
      <protection/>
    </xf>
    <xf numFmtId="0" fontId="4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24" borderId="11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169" fontId="10" fillId="25" borderId="11" xfId="0" applyNumberFormat="1" applyFont="1" applyFill="1" applyBorder="1" applyAlignment="1">
      <alignment horizontal="right" vertical="center"/>
    </xf>
    <xf numFmtId="169" fontId="10" fillId="25" borderId="0" xfId="0" applyNumberFormat="1" applyFont="1" applyFill="1" applyBorder="1" applyAlignment="1">
      <alignment horizontal="right" vertical="center"/>
    </xf>
    <xf numFmtId="169" fontId="10" fillId="25" borderId="9" xfId="0" applyNumberFormat="1" applyFont="1" applyFill="1" applyBorder="1" applyAlignment="1">
      <alignment horizontal="right" vertical="center"/>
    </xf>
    <xf numFmtId="169" fontId="8" fillId="25" borderId="11" xfId="0" applyNumberFormat="1" applyFont="1" applyFill="1" applyBorder="1" applyAlignment="1">
      <alignment horizontal="right" vertical="center"/>
    </xf>
    <xf numFmtId="169" fontId="8" fillId="25" borderId="0" xfId="0" applyNumberFormat="1" applyFont="1" applyFill="1" applyBorder="1" applyAlignment="1">
      <alignment horizontal="right" vertical="center"/>
    </xf>
    <xf numFmtId="169" fontId="8" fillId="25" borderId="9" xfId="0" applyNumberFormat="1" applyFont="1" applyFill="1" applyBorder="1" applyAlignment="1">
      <alignment horizontal="right" vertical="center"/>
    </xf>
    <xf numFmtId="169" fontId="11" fillId="25" borderId="11" xfId="0" applyNumberFormat="1" applyFont="1" applyFill="1" applyBorder="1" applyAlignment="1">
      <alignment horizontal="right" vertical="center"/>
    </xf>
    <xf numFmtId="169" fontId="11" fillId="25" borderId="0" xfId="0" applyNumberFormat="1" applyFont="1" applyFill="1" applyBorder="1" applyAlignment="1">
      <alignment horizontal="right" vertical="center"/>
    </xf>
    <xf numFmtId="169" fontId="11" fillId="25" borderId="9" xfId="0" applyNumberFormat="1" applyFont="1" applyFill="1" applyBorder="1" applyAlignment="1">
      <alignment horizontal="right" vertical="center"/>
    </xf>
    <xf numFmtId="170" fontId="8" fillId="25" borderId="0" xfId="75" applyNumberFormat="1" applyFont="1" applyFill="1" applyBorder="1" applyAlignment="1">
      <alignment horizontal="right" vertical="center"/>
    </xf>
    <xf numFmtId="170" fontId="10" fillId="25" borderId="0" xfId="75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69" fontId="14" fillId="25" borderId="0" xfId="0" applyNumberFormat="1" applyFont="1" applyFill="1" applyBorder="1" applyAlignment="1">
      <alignment horizontal="right" vertical="center"/>
    </xf>
    <xf numFmtId="169" fontId="14" fillId="25" borderId="9" xfId="0" applyNumberFormat="1" applyFont="1" applyFill="1" applyBorder="1" applyAlignment="1">
      <alignment horizontal="right" vertical="center"/>
    </xf>
    <xf numFmtId="169" fontId="15" fillId="25" borderId="11" xfId="0" applyNumberFormat="1" applyFont="1" applyFill="1" applyBorder="1" applyAlignment="1">
      <alignment horizontal="right" vertical="center"/>
    </xf>
    <xf numFmtId="169" fontId="15" fillId="25" borderId="0" xfId="0" applyNumberFormat="1" applyFont="1" applyFill="1" applyBorder="1" applyAlignment="1">
      <alignment horizontal="right" vertical="center"/>
    </xf>
    <xf numFmtId="169" fontId="15" fillId="25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169" fontId="0" fillId="0" borderId="0" xfId="0" applyNumberFormat="1" applyAlignment="1">
      <alignment/>
    </xf>
    <xf numFmtId="169" fontId="14" fillId="25" borderId="13" xfId="0" applyNumberFormat="1" applyFont="1" applyFill="1" applyBorder="1" applyAlignment="1">
      <alignment horizontal="right" vertical="center"/>
    </xf>
    <xf numFmtId="169" fontId="14" fillId="25" borderId="14" xfId="0" applyNumberFormat="1" applyFont="1" applyFill="1" applyBorder="1" applyAlignment="1">
      <alignment horizontal="right" vertical="center"/>
    </xf>
    <xf numFmtId="169" fontId="14" fillId="25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  <xf numFmtId="164" fontId="0" fillId="0" borderId="0" xfId="42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26" borderId="0" xfId="42" applyNumberFormat="1" applyFont="1" applyFill="1" applyBorder="1" applyAlignment="1" applyProtection="1">
      <alignment/>
      <protection/>
    </xf>
    <xf numFmtId="166" fontId="1" fillId="26" borderId="0" xfId="42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ill="1" applyBorder="1" applyAlignment="1">
      <alignment/>
    </xf>
    <xf numFmtId="164" fontId="12" fillId="25" borderId="0" xfId="42" applyNumberFormat="1" applyFont="1" applyFill="1" applyBorder="1" applyAlignment="1">
      <alignment vertical="center"/>
    </xf>
    <xf numFmtId="164" fontId="0" fillId="0" borderId="0" xfId="42" applyNumberFormat="1" applyFont="1" applyFill="1" applyAlignment="1">
      <alignment/>
    </xf>
    <xf numFmtId="43" fontId="0" fillId="0" borderId="0" xfId="0" applyNumberFormat="1" applyAlignment="1">
      <alignment/>
    </xf>
    <xf numFmtId="173" fontId="0" fillId="26" borderId="0" xfId="0" applyNumberFormat="1" applyFill="1" applyAlignment="1">
      <alignment/>
    </xf>
    <xf numFmtId="166" fontId="0" fillId="26" borderId="0" xfId="42" applyNumberFormat="1" applyFont="1" applyFill="1" applyAlignment="1">
      <alignment/>
    </xf>
    <xf numFmtId="171" fontId="2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6" fontId="0" fillId="26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26" borderId="0" xfId="0" applyFill="1" applyAlignment="1">
      <alignment/>
    </xf>
    <xf numFmtId="173" fontId="24" fillId="26" borderId="0" xfId="0" applyNumberFormat="1" applyFont="1" applyFill="1" applyAlignment="1">
      <alignment/>
    </xf>
    <xf numFmtId="10" fontId="37" fillId="0" borderId="9" xfId="75" applyNumberFormat="1" applyFont="1" applyFill="1" applyBorder="1" applyAlignment="1">
      <alignment horizontal="right" vertical="center"/>
    </xf>
    <xf numFmtId="165" fontId="0" fillId="0" borderId="0" xfId="42" applyNumberFormat="1" applyFont="1" applyAlignment="1">
      <alignment/>
    </xf>
    <xf numFmtId="170" fontId="0" fillId="0" borderId="0" xfId="75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5" fontId="1" fillId="0" borderId="9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168" fontId="1" fillId="22" borderId="9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wrapText="1"/>
    </xf>
    <xf numFmtId="166" fontId="1" fillId="27" borderId="14" xfId="0" applyNumberFormat="1" applyFont="1" applyFill="1" applyBorder="1" applyAlignment="1">
      <alignment/>
    </xf>
    <xf numFmtId="168" fontId="1" fillId="27" borderId="15" xfId="0" applyNumberFormat="1" applyFont="1" applyFill="1" applyBorder="1" applyAlignment="1">
      <alignment/>
    </xf>
    <xf numFmtId="0" fontId="3" fillId="24" borderId="22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165" fontId="7" fillId="24" borderId="9" xfId="42" applyNumberFormat="1" applyFont="1" applyFill="1" applyBorder="1" applyAlignment="1">
      <alignment/>
    </xf>
    <xf numFmtId="165" fontId="10" fillId="25" borderId="9" xfId="42" applyNumberFormat="1" applyFont="1" applyFill="1" applyBorder="1" applyAlignment="1">
      <alignment horizontal="right" vertical="center"/>
    </xf>
    <xf numFmtId="165" fontId="33" fillId="25" borderId="9" xfId="42" applyNumberFormat="1" applyFont="1" applyFill="1" applyBorder="1" applyAlignment="1">
      <alignment horizontal="right" vertical="center"/>
    </xf>
    <xf numFmtId="165" fontId="34" fillId="25" borderId="9" xfId="42" applyNumberFormat="1" applyFont="1" applyFill="1" applyBorder="1" applyAlignment="1">
      <alignment horizontal="right" vertical="center"/>
    </xf>
    <xf numFmtId="165" fontId="35" fillId="25" borderId="9" xfId="42" applyNumberFormat="1" applyFont="1" applyFill="1" applyBorder="1" applyAlignment="1">
      <alignment horizontal="right" vertical="center"/>
    </xf>
    <xf numFmtId="165" fontId="12" fillId="25" borderId="9" xfId="42" applyNumberFormat="1" applyFont="1" applyFill="1" applyBorder="1" applyAlignment="1">
      <alignment horizontal="right" vertical="center"/>
    </xf>
    <xf numFmtId="165" fontId="8" fillId="25" borderId="9" xfId="42" applyNumberFormat="1" applyFont="1" applyFill="1" applyBorder="1" applyAlignment="1">
      <alignment horizontal="right" vertical="center"/>
    </xf>
    <xf numFmtId="0" fontId="0" fillId="24" borderId="0" xfId="0" applyFill="1" applyAlignment="1">
      <alignment/>
    </xf>
    <xf numFmtId="164" fontId="0" fillId="24" borderId="0" xfId="42" applyNumberFormat="1" applyFont="1" applyFill="1" applyAlignment="1">
      <alignment/>
    </xf>
    <xf numFmtId="164" fontId="0" fillId="24" borderId="0" xfId="0" applyNumberFormat="1" applyFill="1" applyAlignment="1">
      <alignment/>
    </xf>
    <xf numFmtId="6" fontId="15" fillId="25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0" fontId="37" fillId="0" borderId="0" xfId="75" applyNumberFormat="1" applyFont="1" applyFill="1" applyBorder="1" applyAlignment="1">
      <alignment horizontal="right" vertical="center"/>
    </xf>
    <xf numFmtId="10" fontId="38" fillId="0" borderId="0" xfId="7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6" fontId="37" fillId="0" borderId="0" xfId="75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6" fontId="37" fillId="0" borderId="11" xfId="75" applyNumberFormat="1" applyFont="1" applyFill="1" applyBorder="1" applyAlignment="1">
      <alignment horizontal="right" vertical="center"/>
    </xf>
    <xf numFmtId="6" fontId="37" fillId="0" borderId="9" xfId="75" applyNumberFormat="1" applyFont="1" applyFill="1" applyBorder="1" applyAlignment="1">
      <alignment horizontal="right" vertical="center"/>
    </xf>
    <xf numFmtId="10" fontId="37" fillId="0" borderId="11" xfId="75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19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65" fontId="36" fillId="24" borderId="9" xfId="42" applyNumberFormat="1" applyFont="1" applyFill="1" applyBorder="1" applyAlignment="1">
      <alignment/>
    </xf>
    <xf numFmtId="10" fontId="0" fillId="0" borderId="0" xfId="75" applyNumberFormat="1" applyFont="1" applyFill="1" applyAlignment="1">
      <alignment/>
    </xf>
    <xf numFmtId="16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0" fillId="24" borderId="19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6" xfId="0" applyFill="1" applyBorder="1" applyAlignment="1">
      <alignment/>
    </xf>
    <xf numFmtId="0" fontId="3" fillId="24" borderId="14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9" xfId="0" applyFill="1" applyBorder="1" applyAlignment="1">
      <alignment/>
    </xf>
    <xf numFmtId="164" fontId="7" fillId="24" borderId="27" xfId="42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9" xfId="0" applyFont="1" applyFill="1" applyBorder="1" applyAlignment="1">
      <alignment/>
    </xf>
    <xf numFmtId="164" fontId="9" fillId="24" borderId="27" xfId="42" applyNumberFormat="1" applyFont="1" applyFill="1" applyBorder="1" applyAlignment="1">
      <alignment/>
    </xf>
    <xf numFmtId="170" fontId="0" fillId="24" borderId="27" xfId="75" applyNumberFormat="1" applyFont="1" applyFill="1" applyBorder="1" applyAlignment="1">
      <alignment/>
    </xf>
    <xf numFmtId="164" fontId="7" fillId="24" borderId="9" xfId="42" applyNumberFormat="1" applyFont="1" applyFill="1" applyBorder="1" applyAlignment="1">
      <alignment/>
    </xf>
    <xf numFmtId="170" fontId="7" fillId="24" borderId="9" xfId="75" applyNumberFormat="1" applyFont="1" applyFill="1" applyBorder="1" applyAlignment="1">
      <alignment/>
    </xf>
    <xf numFmtId="10" fontId="0" fillId="24" borderId="0" xfId="75" applyNumberFormat="1" applyFont="1" applyFill="1" applyBorder="1" applyAlignment="1">
      <alignment/>
    </xf>
    <xf numFmtId="10" fontId="0" fillId="24" borderId="0" xfId="0" applyNumberFormat="1" applyFill="1" applyBorder="1" applyAlignment="1">
      <alignment/>
    </xf>
    <xf numFmtId="164" fontId="9" fillId="24" borderId="9" xfId="42" applyNumberFormat="1" applyFont="1" applyFill="1" applyBorder="1" applyAlignment="1">
      <alignment/>
    </xf>
    <xf numFmtId="170" fontId="28" fillId="24" borderId="9" xfId="75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169" fontId="0" fillId="24" borderId="9" xfId="0" applyNumberFormat="1" applyFill="1" applyBorder="1" applyAlignment="1">
      <alignment/>
    </xf>
    <xf numFmtId="169" fontId="0" fillId="24" borderId="0" xfId="0" applyNumberFormat="1" applyFill="1" applyBorder="1" applyAlignment="1">
      <alignment/>
    </xf>
    <xf numFmtId="170" fontId="1" fillId="24" borderId="11" xfId="75" applyNumberFormat="1" applyFont="1" applyFill="1" applyBorder="1" applyAlignment="1">
      <alignment/>
    </xf>
    <xf numFmtId="170" fontId="1" fillId="24" borderId="13" xfId="75" applyNumberFormat="1" applyFont="1" applyFill="1" applyBorder="1" applyAlignment="1">
      <alignment/>
    </xf>
    <xf numFmtId="170" fontId="1" fillId="24" borderId="14" xfId="75" applyNumberFormat="1" applyFont="1" applyFill="1" applyBorder="1" applyAlignment="1">
      <alignment/>
    </xf>
    <xf numFmtId="170" fontId="1" fillId="24" borderId="15" xfId="75" applyNumberFormat="1" applyFont="1" applyFill="1" applyBorder="1" applyAlignment="1">
      <alignment/>
    </xf>
    <xf numFmtId="170" fontId="1" fillId="24" borderId="0" xfId="75" applyNumberFormat="1" applyFont="1" applyFill="1" applyBorder="1" applyAlignment="1">
      <alignment/>
    </xf>
    <xf numFmtId="170" fontId="0" fillId="24" borderId="0" xfId="75" applyNumberFormat="1" applyFont="1" applyFill="1" applyBorder="1" applyAlignment="1">
      <alignment/>
    </xf>
    <xf numFmtId="169" fontId="0" fillId="24" borderId="11" xfId="0" applyNumberFormat="1" applyFill="1" applyBorder="1" applyAlignment="1">
      <alignment/>
    </xf>
    <xf numFmtId="0" fontId="0" fillId="24" borderId="0" xfId="0" applyFill="1" applyBorder="1" applyAlignment="1">
      <alignment horizontal="right"/>
    </xf>
    <xf numFmtId="170" fontId="18" fillId="24" borderId="0" xfId="75" applyNumberFormat="1" applyFont="1" applyFill="1" applyBorder="1" applyAlignment="1">
      <alignment/>
    </xf>
    <xf numFmtId="169" fontId="24" fillId="24" borderId="11" xfId="0" applyNumberFormat="1" applyFont="1" applyFill="1" applyBorder="1" applyAlignment="1">
      <alignment/>
    </xf>
    <xf numFmtId="169" fontId="24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64" fontId="16" fillId="24" borderId="27" xfId="42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64" fontId="16" fillId="24" borderId="9" xfId="42" applyNumberFormat="1" applyFont="1" applyFill="1" applyBorder="1" applyAlignment="1">
      <alignment/>
    </xf>
    <xf numFmtId="164" fontId="13" fillId="24" borderId="9" xfId="42" applyNumberFormat="1" applyFont="1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30" xfId="0" applyFill="1" applyBorder="1" applyAlignment="1">
      <alignment/>
    </xf>
    <xf numFmtId="169" fontId="0" fillId="24" borderId="0" xfId="0" applyNumberFormat="1" applyFill="1" applyAlignment="1">
      <alignment/>
    </xf>
    <xf numFmtId="6" fontId="8" fillId="25" borderId="11" xfId="0" applyNumberFormat="1" applyFont="1" applyFill="1" applyBorder="1" applyAlignment="1">
      <alignment horizontal="right" vertical="center"/>
    </xf>
    <xf numFmtId="6" fontId="0" fillId="24" borderId="11" xfId="0" applyNumberFormat="1" applyFill="1" applyBorder="1" applyAlignment="1">
      <alignment/>
    </xf>
    <xf numFmtId="6" fontId="0" fillId="24" borderId="0" xfId="0" applyNumberFormat="1" applyFill="1" applyBorder="1" applyAlignment="1">
      <alignment/>
    </xf>
    <xf numFmtId="6" fontId="0" fillId="24" borderId="9" xfId="0" applyNumberFormat="1" applyFill="1" applyBorder="1" applyAlignment="1">
      <alignment/>
    </xf>
    <xf numFmtId="6" fontId="8" fillId="25" borderId="9" xfId="0" applyNumberFormat="1" applyFont="1" applyFill="1" applyBorder="1" applyAlignment="1">
      <alignment horizontal="right" vertical="center"/>
    </xf>
    <xf numFmtId="6" fontId="8" fillId="25" borderId="0" xfId="0" applyNumberFormat="1" applyFont="1" applyFill="1" applyBorder="1" applyAlignment="1">
      <alignment horizontal="right" vertical="center"/>
    </xf>
    <xf numFmtId="6" fontId="16" fillId="24" borderId="27" xfId="42" applyNumberFormat="1" applyFont="1" applyFill="1" applyBorder="1" applyAlignment="1">
      <alignment/>
    </xf>
    <xf numFmtId="6" fontId="16" fillId="24" borderId="11" xfId="42" applyNumberFormat="1" applyFont="1" applyFill="1" applyBorder="1" applyAlignment="1">
      <alignment/>
    </xf>
    <xf numFmtId="6" fontId="16" fillId="24" borderId="0" xfId="42" applyNumberFormat="1" applyFont="1" applyFill="1" applyBorder="1" applyAlignment="1">
      <alignment/>
    </xf>
    <xf numFmtId="6" fontId="17" fillId="24" borderId="11" xfId="0" applyNumberFormat="1" applyFont="1" applyFill="1" applyBorder="1" applyAlignment="1">
      <alignment/>
    </xf>
    <xf numFmtId="6" fontId="17" fillId="24" borderId="0" xfId="0" applyNumberFormat="1" applyFont="1" applyFill="1" applyBorder="1" applyAlignment="1">
      <alignment/>
    </xf>
    <xf numFmtId="6" fontId="17" fillId="24" borderId="9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166" fontId="1" fillId="27" borderId="0" xfId="0" applyNumberFormat="1" applyFont="1" applyFill="1" applyAlignment="1">
      <alignment/>
    </xf>
    <xf numFmtId="0" fontId="1" fillId="27" borderId="0" xfId="0" applyFont="1" applyFill="1" applyAlignment="1">
      <alignment/>
    </xf>
    <xf numFmtId="166" fontId="1" fillId="27" borderId="0" xfId="42" applyNumberFormat="1" applyFont="1" applyFill="1" applyAlignment="1">
      <alignment/>
    </xf>
    <xf numFmtId="165" fontId="1" fillId="27" borderId="0" xfId="0" applyNumberFormat="1" applyFont="1" applyFill="1" applyAlignment="1">
      <alignment/>
    </xf>
    <xf numFmtId="168" fontId="1" fillId="26" borderId="0" xfId="42" applyNumberFormat="1" applyFont="1" applyFill="1" applyAlignment="1">
      <alignment/>
    </xf>
    <xf numFmtId="0" fontId="3" fillId="24" borderId="0" xfId="0" applyFont="1" applyFill="1" applyAlignment="1">
      <alignment horizontal="center"/>
    </xf>
    <xf numFmtId="0" fontId="2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wrapText="1"/>
    </xf>
    <xf numFmtId="5" fontId="0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4" fontId="1" fillId="0" borderId="0" xfId="42" applyNumberFormat="1" applyFont="1" applyFill="1" applyAlignment="1">
      <alignment/>
    </xf>
    <xf numFmtId="0" fontId="0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165" fontId="1" fillId="0" borderId="0" xfId="42" applyNumberFormat="1" applyFont="1" applyFill="1" applyAlignment="1">
      <alignment/>
    </xf>
    <xf numFmtId="0" fontId="1" fillId="0" borderId="0" xfId="0" applyNumberFormat="1" applyFont="1" applyFill="1" applyAlignment="1">
      <alignment horizontal="center" wrapText="1"/>
    </xf>
    <xf numFmtId="172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165" fontId="0" fillId="0" borderId="0" xfId="42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wrapText="1"/>
    </xf>
    <xf numFmtId="17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5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5" fontId="1" fillId="0" borderId="0" xfId="0" applyNumberFormat="1" applyFont="1" applyFill="1" applyAlignment="1">
      <alignment/>
    </xf>
    <xf numFmtId="5" fontId="1" fillId="0" borderId="0" xfId="0" applyNumberFormat="1" applyFont="1" applyFill="1" applyAlignment="1">
      <alignment/>
    </xf>
    <xf numFmtId="5" fontId="24" fillId="0" borderId="0" xfId="0" applyNumberFormat="1" applyFont="1" applyFill="1" applyAlignment="1">
      <alignment/>
    </xf>
    <xf numFmtId="5" fontId="24" fillId="0" borderId="0" xfId="0" applyNumberFormat="1" applyFont="1" applyFill="1" applyAlignment="1">
      <alignment/>
    </xf>
    <xf numFmtId="170" fontId="0" fillId="0" borderId="0" xfId="75" applyNumberFormat="1" applyFont="1" applyFill="1" applyBorder="1" applyAlignment="1">
      <alignment/>
    </xf>
    <xf numFmtId="170" fontId="0" fillId="0" borderId="27" xfId="75" applyNumberFormat="1" applyFont="1" applyFill="1" applyBorder="1" applyAlignment="1">
      <alignment/>
    </xf>
    <xf numFmtId="164" fontId="7" fillId="0" borderId="27" xfId="42" applyNumberFormat="1" applyFont="1" applyFill="1" applyBorder="1" applyAlignment="1">
      <alignment/>
    </xf>
    <xf numFmtId="164" fontId="7" fillId="0" borderId="9" xfId="42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vertical="center"/>
    </xf>
    <xf numFmtId="169" fontId="8" fillId="0" borderId="11" xfId="0" applyNumberFormat="1" applyFont="1" applyFill="1" applyBorder="1" applyAlignment="1">
      <alignment horizontal="right" vertical="center"/>
    </xf>
    <xf numFmtId="169" fontId="8" fillId="0" borderId="9" xfId="0" applyNumberFormat="1" applyFont="1" applyFill="1" applyBorder="1" applyAlignment="1">
      <alignment horizontal="right" vertical="center"/>
    </xf>
    <xf numFmtId="169" fontId="0" fillId="0" borderId="0" xfId="0" applyNumberFormat="1" applyFill="1" applyBorder="1" applyAlignment="1">
      <alignment/>
    </xf>
    <xf numFmtId="165" fontId="33" fillId="0" borderId="9" xfId="42" applyNumberFormat="1" applyFont="1" applyFill="1" applyBorder="1" applyAlignment="1">
      <alignment horizontal="right" vertical="center"/>
    </xf>
    <xf numFmtId="164" fontId="9" fillId="0" borderId="27" xfId="42" applyNumberFormat="1" applyFont="1" applyFill="1" applyBorder="1" applyAlignment="1">
      <alignment/>
    </xf>
    <xf numFmtId="164" fontId="9" fillId="0" borderId="9" xfId="42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 horizontal="right" vertical="center"/>
    </xf>
    <xf numFmtId="169" fontId="11" fillId="0" borderId="11" xfId="0" applyNumberFormat="1" applyFont="1" applyFill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165" fontId="8" fillId="0" borderId="9" xfId="4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 horizontal="right" vertical="center"/>
    </xf>
    <xf numFmtId="169" fontId="10" fillId="0" borderId="11" xfId="0" applyNumberFormat="1" applyFont="1" applyFill="1" applyBorder="1" applyAlignment="1">
      <alignment horizontal="right" vertical="center"/>
    </xf>
    <xf numFmtId="164" fontId="16" fillId="0" borderId="27" xfId="42" applyNumberFormat="1" applyFont="1" applyFill="1" applyBorder="1" applyAlignment="1">
      <alignment/>
    </xf>
    <xf numFmtId="164" fontId="13" fillId="0" borderId="9" xfId="42" applyNumberFormat="1" applyFont="1" applyFill="1" applyBorder="1" applyAlignment="1">
      <alignment/>
    </xf>
    <xf numFmtId="164" fontId="16" fillId="0" borderId="9" xfId="42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 horizontal="right" vertical="center"/>
    </xf>
    <xf numFmtId="169" fontId="14" fillId="0" borderId="11" xfId="0" applyNumberFormat="1" applyFont="1" applyFill="1" applyBorder="1" applyAlignment="1">
      <alignment horizontal="right" vertical="center"/>
    </xf>
    <xf numFmtId="169" fontId="14" fillId="0" borderId="9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horizontal="right" vertical="center"/>
    </xf>
    <xf numFmtId="164" fontId="13" fillId="24" borderId="27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0" fillId="0" borderId="0" xfId="42" applyNumberFormat="1" applyFont="1" applyFill="1" applyAlignment="1">
      <alignment/>
    </xf>
    <xf numFmtId="0" fontId="0" fillId="24" borderId="31" xfId="0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178" fontId="37" fillId="0" borderId="0" xfId="0" applyNumberFormat="1" applyFont="1" applyFill="1" applyAlignment="1">
      <alignment horizontal="right"/>
    </xf>
    <xf numFmtId="178" fontId="26" fillId="0" borderId="0" xfId="0" applyNumberFormat="1" applyFont="1" applyFill="1" applyAlignment="1">
      <alignment horizontal="right"/>
    </xf>
    <xf numFmtId="10" fontId="24" fillId="0" borderId="0" xfId="75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Alignment="1">
      <alignment wrapText="1"/>
    </xf>
    <xf numFmtId="182" fontId="0" fillId="0" borderId="0" xfId="75" applyNumberFormat="1" applyFont="1" applyAlignment="1">
      <alignment/>
    </xf>
    <xf numFmtId="182" fontId="0" fillId="0" borderId="0" xfId="0" applyNumberFormat="1" applyAlignment="1">
      <alignment/>
    </xf>
    <xf numFmtId="0" fontId="0" fillId="26" borderId="12" xfId="0" applyFill="1" applyBorder="1" applyAlignment="1">
      <alignment/>
    </xf>
    <xf numFmtId="165" fontId="0" fillId="26" borderId="0" xfId="42" applyNumberFormat="1" applyFont="1" applyFill="1" applyAlignment="1">
      <alignment/>
    </xf>
    <xf numFmtId="0" fontId="1" fillId="26" borderId="12" xfId="0" applyFont="1" applyFill="1" applyBorder="1" applyAlignment="1">
      <alignment/>
    </xf>
    <xf numFmtId="182" fontId="0" fillId="26" borderId="0" xfId="75" applyNumberFormat="1" applyFont="1" applyFill="1" applyAlignment="1">
      <alignment/>
    </xf>
    <xf numFmtId="164" fontId="0" fillId="24" borderId="27" xfId="42" applyNumberFormat="1" applyFont="1" applyFill="1" applyBorder="1" applyAlignment="1">
      <alignment/>
    </xf>
    <xf numFmtId="164" fontId="18" fillId="24" borderId="27" xfId="42" applyNumberFormat="1" applyFont="1" applyFill="1" applyBorder="1" applyAlignment="1">
      <alignment/>
    </xf>
    <xf numFmtId="164" fontId="32" fillId="24" borderId="27" xfId="42" applyNumberFormat="1" applyFont="1" applyFill="1" applyBorder="1" applyAlignment="1">
      <alignment/>
    </xf>
    <xf numFmtId="164" fontId="1" fillId="24" borderId="27" xfId="42" applyNumberFormat="1" applyFont="1" applyFill="1" applyBorder="1" applyAlignment="1">
      <alignment/>
    </xf>
    <xf numFmtId="164" fontId="0" fillId="0" borderId="27" xfId="42" applyNumberFormat="1" applyFont="1" applyFill="1" applyBorder="1" applyAlignment="1">
      <alignment/>
    </xf>
    <xf numFmtId="164" fontId="18" fillId="0" borderId="27" xfId="42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 wrapText="1"/>
      <protection locked="0"/>
    </xf>
    <xf numFmtId="5" fontId="1" fillId="0" borderId="0" xfId="0" applyNumberFormat="1" applyFont="1" applyFill="1" applyAlignment="1" applyProtection="1">
      <alignment horizontal="right"/>
      <protection locked="0"/>
    </xf>
    <xf numFmtId="5" fontId="0" fillId="0" borderId="0" xfId="0" applyNumberForma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42" applyNumberFormat="1" applyFont="1" applyFill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43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1" fillId="0" borderId="0" xfId="42" applyNumberFormat="1" applyFont="1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 locked="0"/>
    </xf>
    <xf numFmtId="165" fontId="1" fillId="0" borderId="0" xfId="42" applyNumberFormat="1" applyFont="1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 quotePrefix="1">
      <alignment/>
      <protection locked="0"/>
    </xf>
    <xf numFmtId="164" fontId="0" fillId="0" borderId="0" xfId="42" applyNumberFormat="1" applyFill="1" applyAlignment="1" applyProtection="1">
      <alignment/>
      <protection locked="0"/>
    </xf>
    <xf numFmtId="43" fontId="0" fillId="0" borderId="14" xfId="0" applyNumberFormat="1" applyFill="1" applyBorder="1" applyAlignment="1" applyProtection="1">
      <alignment/>
      <protection locked="0"/>
    </xf>
    <xf numFmtId="183" fontId="2" fillId="0" borderId="0" xfId="0" applyNumberFormat="1" applyFont="1" applyFill="1" applyBorder="1" applyAlignment="1">
      <alignment horizontal="right" vertical="top"/>
    </xf>
    <xf numFmtId="5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 horizontal="center"/>
    </xf>
    <xf numFmtId="6" fontId="24" fillId="0" borderId="0" xfId="0" applyNumberFormat="1" applyFont="1" applyFill="1" applyAlignment="1" applyProtection="1">
      <alignment/>
      <protection/>
    </xf>
    <xf numFmtId="6" fontId="0" fillId="0" borderId="0" xfId="0" applyNumberFormat="1" applyFill="1" applyAlignment="1">
      <alignment/>
    </xf>
    <xf numFmtId="6" fontId="1" fillId="0" borderId="0" xfId="0" applyNumberFormat="1" applyFont="1" applyFill="1" applyAlignment="1">
      <alignment/>
    </xf>
    <xf numFmtId="6" fontId="1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42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/>
    </xf>
    <xf numFmtId="6" fontId="1" fillId="0" borderId="11" xfId="42" applyNumberFormat="1" applyFont="1" applyFill="1" applyBorder="1" applyAlignment="1">
      <alignment/>
    </xf>
    <xf numFmtId="165" fontId="0" fillId="0" borderId="9" xfId="0" applyNumberFormat="1" applyFill="1" applyBorder="1" applyAlignment="1">
      <alignment/>
    </xf>
    <xf numFmtId="10" fontId="1" fillId="0" borderId="0" xfId="75" applyNumberFormat="1" applyFont="1" applyFill="1" applyAlignment="1">
      <alignment/>
    </xf>
    <xf numFmtId="6" fontId="31" fillId="0" borderId="0" xfId="0" applyNumberFormat="1" applyFont="1" applyFill="1" applyAlignment="1">
      <alignment/>
    </xf>
    <xf numFmtId="6" fontId="1" fillId="0" borderId="0" xfId="0" applyNumberFormat="1" applyFont="1" applyFill="1" applyAlignment="1" applyProtection="1">
      <alignment/>
      <protection locked="0"/>
    </xf>
    <xf numFmtId="43" fontId="18" fillId="0" borderId="0" xfId="42" applyFont="1" applyFill="1" applyAlignment="1" applyProtection="1">
      <alignment/>
      <protection locked="0"/>
    </xf>
    <xf numFmtId="164" fontId="1" fillId="0" borderId="0" xfId="42" applyNumberFormat="1" applyFont="1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 locked="0"/>
    </xf>
    <xf numFmtId="6" fontId="1" fillId="0" borderId="0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7" fontId="18" fillId="0" borderId="9" xfId="0" applyNumberFormat="1" applyFont="1" applyFill="1" applyBorder="1" applyAlignment="1">
      <alignment/>
    </xf>
    <xf numFmtId="6" fontId="2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 indent="2"/>
    </xf>
    <xf numFmtId="0" fontId="0" fillId="0" borderId="0" xfId="0" applyFont="1" applyFill="1" applyBorder="1" applyAlignment="1">
      <alignment horizontal="left" vertical="top" indent="2"/>
    </xf>
    <xf numFmtId="164" fontId="24" fillId="0" borderId="0" xfId="0" applyNumberFormat="1" applyFont="1" applyFill="1" applyAlignment="1">
      <alignment/>
    </xf>
    <xf numFmtId="6" fontId="1" fillId="0" borderId="9" xfId="42" applyNumberFormat="1" applyFont="1" applyFill="1" applyBorder="1" applyAlignment="1">
      <alignment/>
    </xf>
    <xf numFmtId="164" fontId="0" fillId="0" borderId="11" xfId="42" applyNumberFormat="1" applyFill="1" applyBorder="1" applyAlignment="1">
      <alignment/>
    </xf>
    <xf numFmtId="10" fontId="8" fillId="0" borderId="26" xfId="75" applyNumberFormat="1" applyFont="1" applyFill="1" applyBorder="1" applyAlignment="1">
      <alignment horizontal="right" vertical="center"/>
    </xf>
    <xf numFmtId="6" fontId="0" fillId="0" borderId="9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8" fontId="0" fillId="0" borderId="0" xfId="0" applyNumberFormat="1" applyFill="1" applyAlignment="1">
      <alignment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/>
    </xf>
    <xf numFmtId="0" fontId="1" fillId="0" borderId="12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9" xfId="0" applyNumberFormat="1" applyFill="1" applyBorder="1" applyAlignment="1">
      <alignment/>
    </xf>
    <xf numFmtId="6" fontId="1" fillId="0" borderId="11" xfId="42" applyNumberFormat="1" applyFont="1" applyFill="1" applyBorder="1" applyAlignment="1">
      <alignment horizontal="right"/>
    </xf>
    <xf numFmtId="6" fontId="1" fillId="0" borderId="0" xfId="42" applyNumberFormat="1" applyFont="1" applyFill="1" applyBorder="1" applyAlignment="1">
      <alignment horizontal="right"/>
    </xf>
    <xf numFmtId="10" fontId="0" fillId="0" borderId="11" xfId="75" applyNumberFormat="1" applyFont="1" applyFill="1" applyBorder="1" applyAlignment="1">
      <alignment/>
    </xf>
    <xf numFmtId="6" fontId="0" fillId="0" borderId="0" xfId="42" applyNumberFormat="1" applyFont="1" applyFill="1" applyBorder="1" applyAlignment="1">
      <alignment/>
    </xf>
    <xf numFmtId="6" fontId="0" fillId="0" borderId="9" xfId="42" applyNumberFormat="1" applyFont="1" applyFill="1" applyBorder="1" applyAlignment="1">
      <alignment/>
    </xf>
    <xf numFmtId="10" fontId="0" fillId="0" borderId="11" xfId="75" applyNumberFormat="1" applyFont="1" applyFill="1" applyBorder="1" applyAlignment="1">
      <alignment/>
    </xf>
    <xf numFmtId="6" fontId="0" fillId="0" borderId="11" xfId="42" applyNumberFormat="1" applyFont="1" applyFill="1" applyBorder="1" applyAlignment="1">
      <alignment/>
    </xf>
    <xf numFmtId="10" fontId="0" fillId="0" borderId="11" xfId="0" applyNumberFormat="1" applyFill="1" applyBorder="1" applyAlignment="1">
      <alignment/>
    </xf>
    <xf numFmtId="168" fontId="0" fillId="0" borderId="9" xfId="0" applyNumberFormat="1" applyFill="1" applyBorder="1" applyAlignment="1">
      <alignment/>
    </xf>
    <xf numFmtId="10" fontId="11" fillId="0" borderId="26" xfId="75" applyNumberFormat="1" applyFont="1" applyFill="1" applyBorder="1" applyAlignment="1">
      <alignment horizontal="right" vertical="center"/>
    </xf>
    <xf numFmtId="6" fontId="1" fillId="0" borderId="11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1" fillId="0" borderId="9" xfId="0" applyNumberFormat="1" applyFont="1" applyFill="1" applyBorder="1" applyAlignment="1">
      <alignment/>
    </xf>
    <xf numFmtId="10" fontId="0" fillId="0" borderId="26" xfId="75" applyNumberFormat="1" applyFill="1" applyBorder="1" applyAlignment="1">
      <alignment/>
    </xf>
    <xf numFmtId="165" fontId="0" fillId="0" borderId="0" xfId="42" applyNumberFormat="1" applyFill="1" applyAlignment="1">
      <alignment/>
    </xf>
    <xf numFmtId="170" fontId="0" fillId="0" borderId="0" xfId="75" applyNumberFormat="1" applyFill="1" applyAlignment="1">
      <alignment/>
    </xf>
    <xf numFmtId="6" fontId="1" fillId="0" borderId="11" xfId="0" applyNumberFormat="1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wrapText="1"/>
    </xf>
    <xf numFmtId="6" fontId="15" fillId="0" borderId="11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6" fontId="0" fillId="0" borderId="14" xfId="0" applyNumberFormat="1" applyFill="1" applyBorder="1" applyAlignment="1">
      <alignment/>
    </xf>
    <xf numFmtId="6" fontId="0" fillId="0" borderId="15" xfId="0" applyNumberFormat="1" applyFill="1" applyBorder="1" applyAlignment="1">
      <alignment/>
    </xf>
    <xf numFmtId="164" fontId="0" fillId="0" borderId="13" xfId="42" applyNumberFormat="1" applyFill="1" applyBorder="1" applyAlignment="1">
      <alignment/>
    </xf>
    <xf numFmtId="0" fontId="0" fillId="0" borderId="33" xfId="0" applyFill="1" applyBorder="1" applyAlignment="1">
      <alignment/>
    </xf>
    <xf numFmtId="6" fontId="0" fillId="0" borderId="20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21" fillId="0" borderId="0" xfId="0" applyFont="1" applyFill="1" applyAlignment="1">
      <alignment/>
    </xf>
    <xf numFmtId="6" fontId="45" fillId="0" borderId="0" xfId="0" applyNumberFormat="1" applyFont="1" applyFill="1" applyAlignment="1">
      <alignment/>
    </xf>
    <xf numFmtId="176" fontId="46" fillId="0" borderId="0" xfId="67" applyNumberFormat="1" applyFont="1" applyFill="1">
      <alignment/>
      <protection/>
    </xf>
    <xf numFmtId="6" fontId="1" fillId="0" borderId="0" xfId="75" applyNumberFormat="1" applyFont="1" applyFill="1" applyAlignment="1">
      <alignment/>
    </xf>
    <xf numFmtId="185" fontId="2" fillId="0" borderId="0" xfId="0" applyNumberFormat="1" applyFont="1" applyFill="1" applyBorder="1" applyAlignment="1">
      <alignment horizontal="center" vertical="top"/>
    </xf>
    <xf numFmtId="185" fontId="2" fillId="0" borderId="0" xfId="0" applyNumberFormat="1" applyFont="1" applyFill="1" applyBorder="1" applyAlignment="1">
      <alignment vertical="top"/>
    </xf>
    <xf numFmtId="0" fontId="20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 wrapText="1"/>
    </xf>
    <xf numFmtId="6" fontId="37" fillId="0" borderId="0" xfId="42" applyNumberFormat="1" applyFont="1" applyFill="1" applyBorder="1" applyAlignment="1">
      <alignment vertical="center"/>
    </xf>
    <xf numFmtId="6" fontId="37" fillId="0" borderId="11" xfId="42" applyNumberFormat="1" applyFont="1" applyFill="1" applyBorder="1" applyAlignment="1">
      <alignment vertical="center"/>
    </xf>
    <xf numFmtId="164" fontId="0" fillId="0" borderId="11" xfId="42" applyNumberFormat="1" applyFont="1" applyFill="1" applyBorder="1" applyAlignment="1">
      <alignment/>
    </xf>
    <xf numFmtId="6" fontId="31" fillId="0" borderId="11" xfId="42" applyNumberFormat="1" applyFont="1" applyFill="1" applyBorder="1" applyAlignment="1">
      <alignment horizontal="right"/>
    </xf>
    <xf numFmtId="6" fontId="31" fillId="0" borderId="0" xfId="42" applyNumberFormat="1" applyFont="1" applyFill="1" applyBorder="1" applyAlignment="1">
      <alignment horizontal="right"/>
    </xf>
    <xf numFmtId="6" fontId="39" fillId="0" borderId="0" xfId="42" applyNumberFormat="1" applyFont="1" applyFill="1" applyBorder="1" applyAlignment="1">
      <alignment vertical="center"/>
    </xf>
    <xf numFmtId="164" fontId="18" fillId="0" borderId="11" xfId="42" applyNumberFormat="1" applyFont="1" applyFill="1" applyBorder="1" applyAlignment="1">
      <alignment/>
    </xf>
    <xf numFmtId="164" fontId="1" fillId="0" borderId="11" xfId="42" applyNumberFormat="1" applyFont="1" applyFill="1" applyBorder="1" applyAlignment="1">
      <alignment/>
    </xf>
    <xf numFmtId="10" fontId="0" fillId="0" borderId="26" xfId="75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43" fontId="1" fillId="0" borderId="11" xfId="42" applyNumberFormat="1" applyFont="1" applyFill="1" applyBorder="1" applyAlignment="1">
      <alignment/>
    </xf>
    <xf numFmtId="6" fontId="15" fillId="0" borderId="0" xfId="0" applyNumberFormat="1" applyFont="1" applyFill="1" applyBorder="1" applyAlignment="1">
      <alignment horizontal="right" vertical="center"/>
    </xf>
    <xf numFmtId="164" fontId="0" fillId="0" borderId="13" xfId="42" applyNumberFormat="1" applyFont="1" applyFill="1" applyBorder="1" applyAlignment="1">
      <alignment/>
    </xf>
    <xf numFmtId="0" fontId="21" fillId="0" borderId="0" xfId="0" applyFont="1" applyFill="1" applyAlignment="1">
      <alignment/>
    </xf>
    <xf numFmtId="40" fontId="26" fillId="0" borderId="0" xfId="70" applyFont="1" applyFill="1" applyBorder="1">
      <alignment horizontal="right"/>
      <protection/>
    </xf>
    <xf numFmtId="5" fontId="0" fillId="0" borderId="0" xfId="0" applyNumberFormat="1" applyFont="1" applyFill="1" applyAlignment="1" applyProtection="1">
      <alignment horizontal="right"/>
      <protection locked="0"/>
    </xf>
    <xf numFmtId="37" fontId="0" fillId="0" borderId="0" xfId="0" applyNumberFormat="1" applyFont="1" applyFill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6" fontId="0" fillId="0" borderId="0" xfId="47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187" fontId="68" fillId="0" borderId="0" xfId="0" applyNumberFormat="1" applyFont="1" applyFill="1" applyBorder="1" applyAlignment="1" applyProtection="1">
      <alignment/>
      <protection locked="0"/>
    </xf>
    <xf numFmtId="6" fontId="68" fillId="0" borderId="0" xfId="0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Border="1" applyAlignment="1">
      <alignment/>
    </xf>
    <xf numFmtId="164" fontId="18" fillId="0" borderId="0" xfId="42" applyNumberFormat="1" applyFont="1" applyFill="1" applyAlignment="1" applyProtection="1">
      <alignment/>
      <protection locked="0"/>
    </xf>
    <xf numFmtId="3" fontId="2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64" fontId="0" fillId="0" borderId="0" xfId="42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Alignment="1">
      <alignment/>
    </xf>
    <xf numFmtId="181" fontId="0" fillId="0" borderId="0" xfId="47" applyNumberFormat="1" applyFont="1" applyFill="1" applyBorder="1" applyAlignment="1">
      <alignment horizontal="left"/>
    </xf>
    <xf numFmtId="6" fontId="0" fillId="0" borderId="0" xfId="42" applyNumberFormat="1" applyFont="1" applyFill="1" applyAlignment="1" applyProtection="1">
      <alignment/>
      <protection locked="0"/>
    </xf>
    <xf numFmtId="38" fontId="68" fillId="0" borderId="0" xfId="0" applyNumberFormat="1" applyFont="1" applyFill="1" applyBorder="1" applyAlignment="1" applyProtection="1">
      <alignment/>
      <protection locked="0"/>
    </xf>
    <xf numFmtId="6" fontId="0" fillId="0" borderId="0" xfId="47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43" fontId="7" fillId="0" borderId="0" xfId="42" applyNumberFormat="1" applyFont="1" applyFill="1" applyBorder="1" applyAlignment="1" applyProtection="1">
      <alignment horizontal="right" vertical="center"/>
      <protection locked="0"/>
    </xf>
    <xf numFmtId="164" fontId="0" fillId="0" borderId="0" xfId="42" applyNumberFormat="1" applyFill="1" applyAlignment="1">
      <alignment/>
    </xf>
    <xf numFmtId="164" fontId="18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37" fontId="26" fillId="0" borderId="0" xfId="70" applyNumberFormat="1" applyFont="1" applyFill="1" applyBorder="1">
      <alignment horizontal="right"/>
      <protection/>
    </xf>
    <xf numFmtId="0" fontId="1" fillId="0" borderId="0" xfId="0" applyFont="1" applyFill="1" applyAlignment="1">
      <alignment horizontal="center" wrapText="1"/>
    </xf>
    <xf numFmtId="0" fontId="0" fillId="24" borderId="0" xfId="0" applyFill="1" applyAlignment="1">
      <alignment wrapText="1"/>
    </xf>
    <xf numFmtId="0" fontId="30" fillId="24" borderId="0" xfId="0" applyFont="1" applyFill="1" applyAlignment="1">
      <alignment horizontal="center" wrapText="1"/>
    </xf>
    <xf numFmtId="0" fontId="0" fillId="24" borderId="34" xfId="0" applyFill="1" applyBorder="1" applyAlignment="1">
      <alignment wrapText="1"/>
    </xf>
    <xf numFmtId="0" fontId="1" fillId="24" borderId="35" xfId="0" applyFont="1" applyFill="1" applyBorder="1" applyAlignment="1">
      <alignment wrapText="1"/>
    </xf>
    <xf numFmtId="0" fontId="19" fillId="24" borderId="36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left" wrapText="1"/>
    </xf>
    <xf numFmtId="0" fontId="0" fillId="24" borderId="35" xfId="0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0" fillId="24" borderId="33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17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11" xfId="42" applyNumberFormat="1" applyBorder="1" applyAlignment="1">
      <alignment/>
    </xf>
    <xf numFmtId="5" fontId="37" fillId="0" borderId="11" xfId="42" applyNumberFormat="1" applyFont="1" applyFill="1" applyBorder="1" applyAlignment="1">
      <alignment vertical="center"/>
    </xf>
    <xf numFmtId="188" fontId="8" fillId="25" borderId="0" xfId="0" applyNumberFormat="1" applyFont="1" applyFill="1" applyBorder="1" applyAlignment="1">
      <alignment horizontal="right" vertical="center"/>
    </xf>
    <xf numFmtId="188" fontId="11" fillId="25" borderId="0" xfId="0" applyNumberFormat="1" applyFont="1" applyFill="1" applyBorder="1" applyAlignment="1">
      <alignment horizontal="right" vertical="center"/>
    </xf>
    <xf numFmtId="5" fontId="17" fillId="24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10" fillId="0" borderId="9" xfId="0" applyNumberFormat="1" applyFont="1" applyFill="1" applyBorder="1" applyAlignment="1">
      <alignment horizontal="right" vertical="center"/>
    </xf>
    <xf numFmtId="188" fontId="8" fillId="0" borderId="9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14" fillId="0" borderId="0" xfId="0" applyNumberFormat="1" applyFont="1" applyFill="1" applyBorder="1" applyAlignment="1">
      <alignment horizontal="right" vertical="center"/>
    </xf>
    <xf numFmtId="5" fontId="0" fillId="0" borderId="0" xfId="0" applyNumberFormat="1" applyFill="1" applyAlignment="1" applyProtection="1">
      <alignment/>
      <protection/>
    </xf>
    <xf numFmtId="5" fontId="24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 locked="0"/>
    </xf>
    <xf numFmtId="5" fontId="68" fillId="0" borderId="0" xfId="0" applyNumberFormat="1" applyFont="1" applyFill="1" applyBorder="1" applyAlignment="1" applyProtection="1">
      <alignment/>
      <protection locked="0"/>
    </xf>
    <xf numFmtId="37" fontId="0" fillId="0" borderId="0" xfId="42" applyNumberFormat="1" applyFont="1" applyFill="1" applyAlignment="1">
      <alignment/>
    </xf>
    <xf numFmtId="5" fontId="0" fillId="0" borderId="9" xfId="0" applyNumberFormat="1" applyFill="1" applyBorder="1" applyAlignment="1">
      <alignment/>
    </xf>
    <xf numFmtId="184" fontId="2" fillId="0" borderId="0" xfId="48" applyNumberFormat="1" applyFont="1" applyFill="1" applyBorder="1" applyAlignment="1">
      <alignment horizontal="right" vertical="top" wrapText="1"/>
    </xf>
    <xf numFmtId="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5" fontId="1" fillId="0" borderId="0" xfId="42" applyNumberFormat="1" applyFont="1" applyFill="1" applyBorder="1" applyAlignment="1" applyProtection="1">
      <alignment/>
      <protection locked="0"/>
    </xf>
    <xf numFmtId="0" fontId="67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22" fillId="24" borderId="21" xfId="0" applyFont="1" applyFill="1" applyBorder="1" applyAlignment="1">
      <alignment horizontal="center" wrapText="1"/>
    </xf>
    <xf numFmtId="0" fontId="29" fillId="24" borderId="22" xfId="0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wrapText="1"/>
    </xf>
    <xf numFmtId="0" fontId="22" fillId="24" borderId="16" xfId="0" applyFont="1" applyFill="1" applyBorder="1" applyAlignment="1">
      <alignment horizontal="center" wrapText="1"/>
    </xf>
    <xf numFmtId="0" fontId="22" fillId="24" borderId="17" xfId="0" applyFont="1" applyFill="1" applyBorder="1" applyAlignment="1">
      <alignment horizontal="center" wrapText="1"/>
    </xf>
    <xf numFmtId="0" fontId="22" fillId="24" borderId="18" xfId="0" applyFont="1" applyFill="1" applyBorder="1" applyAlignment="1">
      <alignment horizontal="center" wrapText="1"/>
    </xf>
    <xf numFmtId="0" fontId="3" fillId="24" borderId="23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wrapText="1"/>
    </xf>
    <xf numFmtId="0" fontId="3" fillId="24" borderId="37" xfId="0" applyFont="1" applyFill="1" applyBorder="1" applyAlignment="1">
      <alignment horizontal="center" wrapText="1"/>
    </xf>
    <xf numFmtId="0" fontId="3" fillId="24" borderId="38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0" fillId="24" borderId="13" xfId="0" applyFill="1" applyBorder="1" applyAlignment="1">
      <alignment/>
    </xf>
    <xf numFmtId="0" fontId="19" fillId="24" borderId="17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0" fontId="0" fillId="24" borderId="15" xfId="0" applyFill="1" applyBorder="1" applyAlignment="1">
      <alignment horizontal="center" wrapText="1"/>
    </xf>
    <xf numFmtId="0" fontId="19" fillId="24" borderId="16" xfId="0" applyFont="1" applyFill="1" applyBorder="1" applyAlignment="1">
      <alignment horizontal="center" wrapText="1"/>
    </xf>
    <xf numFmtId="0" fontId="19" fillId="24" borderId="18" xfId="0" applyFont="1" applyFill="1" applyBorder="1" applyAlignment="1">
      <alignment horizontal="center" wrapText="1"/>
    </xf>
    <xf numFmtId="0" fontId="3" fillId="24" borderId="27" xfId="0" applyFont="1" applyFill="1" applyBorder="1" applyAlignment="1">
      <alignment horizontal="center" wrapText="1"/>
    </xf>
    <xf numFmtId="0" fontId="0" fillId="24" borderId="38" xfId="0" applyFill="1" applyBorder="1" applyAlignment="1">
      <alignment horizontal="center"/>
    </xf>
    <xf numFmtId="0" fontId="3" fillId="0" borderId="3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64" fillId="24" borderId="0" xfId="0" applyFont="1" applyFill="1" applyAlignment="1">
      <alignment horizontal="center" wrapText="1"/>
    </xf>
    <xf numFmtId="0" fontId="66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3" fillId="24" borderId="18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0" fillId="24" borderId="14" xfId="0" applyFill="1" applyBorder="1" applyAlignment="1">
      <alignment horizontal="center" wrapText="1"/>
    </xf>
    <xf numFmtId="0" fontId="3" fillId="24" borderId="9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3" fillId="24" borderId="22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top" indent="2"/>
    </xf>
    <xf numFmtId="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Fill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Data Inputs - 2010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_AA Calculation" xfId="67"/>
    <cellStyle name="Note" xfId="68"/>
    <cellStyle name="Output" xfId="69"/>
    <cellStyle name="Output Amounts" xfId="70"/>
    <cellStyle name="Output Column Headings" xfId="71"/>
    <cellStyle name="Output Line Items" xfId="72"/>
    <cellStyle name="Output Report Heading" xfId="73"/>
    <cellStyle name="Output Report Title" xfId="74"/>
    <cellStyle name="Percent" xfId="75"/>
    <cellStyle name="Percent 2" xfId="76"/>
    <cellStyle name="Percent 3" xfId="77"/>
    <cellStyle name="Title" xfId="78"/>
    <cellStyle name="Total" xfId="79"/>
    <cellStyle name="Warning Text" xfId="8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42"/>
  <sheetViews>
    <sheetView view="pageBreakPreview" zoomScale="6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Y40" sqref="Y40"/>
    </sheetView>
  </sheetViews>
  <sheetFormatPr defaultColWidth="9.140625" defaultRowHeight="12.75"/>
  <cols>
    <col min="1" max="1" width="6.00390625" style="50" bestFit="1" customWidth="1"/>
    <col min="2" max="2" width="34.7109375" style="50" customWidth="1"/>
    <col min="3" max="3" width="1.8515625" style="50" customWidth="1"/>
    <col min="4" max="4" width="16.8515625" style="50" bestFit="1" customWidth="1"/>
    <col min="5" max="5" width="18.00390625" style="50" bestFit="1" customWidth="1"/>
    <col min="6" max="6" width="14.7109375" style="50" customWidth="1"/>
    <col min="7" max="7" width="0.85546875" style="50" customWidth="1"/>
    <col min="8" max="8" width="16.140625" style="50" customWidth="1"/>
    <col min="9" max="9" width="18.28125" style="50" customWidth="1"/>
    <col min="10" max="10" width="16.140625" style="50" customWidth="1"/>
    <col min="11" max="11" width="20.140625" style="50" customWidth="1"/>
    <col min="12" max="12" width="16.28125" style="50" customWidth="1"/>
    <col min="13" max="13" width="11.8515625" style="50" bestFit="1" customWidth="1"/>
    <col min="14" max="14" width="14.00390625" style="50" customWidth="1"/>
    <col min="15" max="15" width="1.8515625" style="50" customWidth="1"/>
    <col min="16" max="16" width="14.421875" style="50" customWidth="1"/>
    <col min="17" max="17" width="16.421875" style="50" customWidth="1"/>
    <col min="18" max="18" width="2.00390625" style="50" customWidth="1"/>
    <col min="19" max="19" width="13.00390625" style="50" customWidth="1"/>
    <col min="20" max="20" width="18.421875" style="50" customWidth="1"/>
    <col min="21" max="21" width="14.140625" style="50" customWidth="1"/>
    <col min="22" max="22" width="0.85546875" style="50" customWidth="1"/>
    <col min="23" max="23" width="10.28125" style="50" customWidth="1"/>
    <col min="24" max="24" width="15.140625" style="50" customWidth="1"/>
    <col min="25" max="25" width="17.28125" style="50" customWidth="1"/>
    <col min="26" max="26" width="1.8515625" style="50" customWidth="1"/>
    <col min="27" max="27" width="16.28125" style="50" customWidth="1"/>
    <col min="28" max="28" width="12.421875" style="50" customWidth="1"/>
    <col min="29" max="29" width="1.421875" style="50" customWidth="1"/>
    <col min="30" max="30" width="9.140625" style="50" customWidth="1"/>
    <col min="31" max="31" width="14.421875" style="50" bestFit="1" customWidth="1"/>
    <col min="32" max="16384" width="9.140625" style="50" customWidth="1"/>
  </cols>
  <sheetData>
    <row r="1" ht="12.75">
      <c r="A1" s="344"/>
    </row>
    <row r="2" spans="1:30" ht="57" customHeight="1">
      <c r="A2" s="343" t="s">
        <v>24</v>
      </c>
      <c r="B2" s="487" t="s">
        <v>281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342"/>
      <c r="AD2" s="342"/>
    </row>
    <row r="3" spans="1:30" ht="18" customHeight="1">
      <c r="A3" s="344">
        <v>1</v>
      </c>
      <c r="B3" s="488" t="s">
        <v>289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341"/>
      <c r="AD3" s="341"/>
    </row>
    <row r="4" spans="1:42" ht="20.25">
      <c r="A4" s="344">
        <v>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</row>
    <row r="5" spans="1:28" ht="15.75">
      <c r="A5" s="344">
        <v>3</v>
      </c>
      <c r="B5" s="303" t="s">
        <v>1</v>
      </c>
      <c r="D5" s="302" t="s">
        <v>316</v>
      </c>
      <c r="E5" s="302" t="s">
        <v>317</v>
      </c>
      <c r="F5" s="302" t="s">
        <v>2</v>
      </c>
      <c r="G5" s="302"/>
      <c r="H5" s="302" t="s">
        <v>3</v>
      </c>
      <c r="I5" s="302" t="s">
        <v>4</v>
      </c>
      <c r="J5" s="302" t="s">
        <v>5</v>
      </c>
      <c r="K5" s="302" t="s">
        <v>6</v>
      </c>
      <c r="L5" s="302" t="s">
        <v>21</v>
      </c>
      <c r="M5" s="302" t="s">
        <v>20</v>
      </c>
      <c r="N5" s="302" t="s">
        <v>22</v>
      </c>
      <c r="O5" s="302"/>
      <c r="P5" s="302" t="s">
        <v>25</v>
      </c>
      <c r="Q5" s="302" t="s">
        <v>28</v>
      </c>
      <c r="R5" s="302"/>
      <c r="S5" s="302" t="s">
        <v>29</v>
      </c>
      <c r="T5" s="302" t="s">
        <v>77</v>
      </c>
      <c r="U5" s="302" t="s">
        <v>36</v>
      </c>
      <c r="V5" s="302"/>
      <c r="W5" s="302" t="s">
        <v>41</v>
      </c>
      <c r="X5" s="302" t="s">
        <v>171</v>
      </c>
      <c r="Y5" s="302" t="s">
        <v>78</v>
      </c>
      <c r="Z5" s="302"/>
      <c r="AA5" s="302" t="s">
        <v>79</v>
      </c>
      <c r="AB5" s="302" t="s">
        <v>80</v>
      </c>
    </row>
    <row r="6" spans="1:7" ht="15.75">
      <c r="A6" s="344">
        <v>4</v>
      </c>
      <c r="D6" s="302"/>
      <c r="E6" s="302"/>
      <c r="F6" s="302"/>
      <c r="G6" s="302"/>
    </row>
    <row r="7" spans="1:28" s="342" customFormat="1" ht="25.5">
      <c r="A7" s="343">
        <v>5</v>
      </c>
      <c r="B7" s="440" t="s">
        <v>7</v>
      </c>
      <c r="H7" s="440"/>
      <c r="I7" s="440"/>
      <c r="J7" s="440" t="s">
        <v>321</v>
      </c>
      <c r="K7" s="440"/>
      <c r="L7" s="440" t="s">
        <v>318</v>
      </c>
      <c r="M7" s="440" t="s">
        <v>322</v>
      </c>
      <c r="N7" s="440" t="s">
        <v>339</v>
      </c>
      <c r="O7" s="440"/>
      <c r="P7" s="440" t="s">
        <v>340</v>
      </c>
      <c r="Q7" s="440" t="s">
        <v>319</v>
      </c>
      <c r="R7" s="440"/>
      <c r="S7" s="440"/>
      <c r="T7" s="440" t="s">
        <v>323</v>
      </c>
      <c r="U7" s="440" t="s">
        <v>324</v>
      </c>
      <c r="V7" s="440"/>
      <c r="W7" s="440"/>
      <c r="X7" s="440" t="s">
        <v>338</v>
      </c>
      <c r="Y7" s="440" t="s">
        <v>325</v>
      </c>
      <c r="Z7" s="440"/>
      <c r="AA7" s="440"/>
      <c r="AB7" s="440" t="s">
        <v>326</v>
      </c>
    </row>
    <row r="8" spans="1:2" ht="13.5" thickBot="1">
      <c r="A8" s="344">
        <v>6</v>
      </c>
      <c r="B8" s="303"/>
    </row>
    <row r="9" spans="1:29" ht="13.5" thickTop="1">
      <c r="A9" s="344">
        <v>7</v>
      </c>
      <c r="B9" s="346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347"/>
    </row>
    <row r="10" spans="1:29" ht="121.5" customHeight="1" hidden="1">
      <c r="A10" s="344">
        <v>8</v>
      </c>
      <c r="B10" s="348"/>
      <c r="C10" s="45"/>
      <c r="D10" s="495" t="s">
        <v>200</v>
      </c>
      <c r="E10" s="496"/>
      <c r="F10" s="496"/>
      <c r="G10" s="496"/>
      <c r="H10" s="496"/>
      <c r="I10" s="496"/>
      <c r="J10" s="496"/>
      <c r="K10" s="496"/>
      <c r="L10" s="496"/>
      <c r="M10" s="496"/>
      <c r="N10" s="497"/>
      <c r="O10" s="349"/>
      <c r="P10" s="491" t="s">
        <v>209</v>
      </c>
      <c r="Q10" s="492"/>
      <c r="R10" s="350"/>
      <c r="S10" s="491" t="s">
        <v>305</v>
      </c>
      <c r="T10" s="494"/>
      <c r="U10" s="492"/>
      <c r="V10" s="350"/>
      <c r="W10" s="491" t="s">
        <v>302</v>
      </c>
      <c r="X10" s="494"/>
      <c r="Y10" s="492"/>
      <c r="Z10" s="45"/>
      <c r="AA10" s="489" t="s">
        <v>204</v>
      </c>
      <c r="AB10" s="490"/>
      <c r="AC10" s="351"/>
    </row>
    <row r="11" spans="1:29" ht="63.75">
      <c r="A11" s="344">
        <v>9</v>
      </c>
      <c r="B11" s="348"/>
      <c r="C11" s="45"/>
      <c r="D11" s="336" t="s">
        <v>314</v>
      </c>
      <c r="E11" s="338" t="s">
        <v>315</v>
      </c>
      <c r="F11" s="337" t="s">
        <v>210</v>
      </c>
      <c r="G11" s="352"/>
      <c r="H11" s="336" t="s">
        <v>320</v>
      </c>
      <c r="I11" s="338" t="s">
        <v>271</v>
      </c>
      <c r="J11" s="338" t="s">
        <v>210</v>
      </c>
      <c r="K11" s="338" t="s">
        <v>301</v>
      </c>
      <c r="L11" s="338" t="s">
        <v>49</v>
      </c>
      <c r="M11" s="339" t="s">
        <v>175</v>
      </c>
      <c r="N11" s="337" t="s">
        <v>207</v>
      </c>
      <c r="O11" s="94"/>
      <c r="P11" s="336" t="s">
        <v>202</v>
      </c>
      <c r="Q11" s="337" t="s">
        <v>203</v>
      </c>
      <c r="R11" s="94"/>
      <c r="S11" s="336" t="s">
        <v>333</v>
      </c>
      <c r="T11" s="338" t="s">
        <v>306</v>
      </c>
      <c r="U11" s="337" t="s">
        <v>307</v>
      </c>
      <c r="V11" s="94"/>
      <c r="W11" s="336" t="s">
        <v>27</v>
      </c>
      <c r="X11" s="338" t="s">
        <v>303</v>
      </c>
      <c r="Y11" s="337" t="s">
        <v>304</v>
      </c>
      <c r="Z11" s="45"/>
      <c r="AA11" s="336" t="s">
        <v>336</v>
      </c>
      <c r="AB11" s="337" t="s">
        <v>205</v>
      </c>
      <c r="AC11" s="351"/>
    </row>
    <row r="12" spans="1:29" ht="19.5">
      <c r="A12" s="344">
        <v>11</v>
      </c>
      <c r="B12" s="353" t="s">
        <v>8</v>
      </c>
      <c r="C12" s="45"/>
      <c r="D12" s="101"/>
      <c r="E12" s="45"/>
      <c r="F12" s="52"/>
      <c r="G12" s="45"/>
      <c r="H12" s="101"/>
      <c r="I12" s="45"/>
      <c r="J12" s="45"/>
      <c r="K12" s="45"/>
      <c r="L12" s="45"/>
      <c r="M12" s="45"/>
      <c r="N12" s="52"/>
      <c r="O12" s="45"/>
      <c r="P12" s="101"/>
      <c r="Q12" s="52"/>
      <c r="R12" s="45"/>
      <c r="S12" s="326"/>
      <c r="T12" s="97"/>
      <c r="U12" s="327"/>
      <c r="V12" s="45"/>
      <c r="W12" s="101"/>
      <c r="X12" s="45"/>
      <c r="Y12" s="52"/>
      <c r="Z12" s="45"/>
      <c r="AA12" s="101"/>
      <c r="AB12" s="52"/>
      <c r="AC12" s="351"/>
    </row>
    <row r="13" spans="1:29" ht="12.75">
      <c r="A13" s="344">
        <v>12</v>
      </c>
      <c r="B13" s="354"/>
      <c r="C13" s="45"/>
      <c r="D13" s="101"/>
      <c r="E13" s="45"/>
      <c r="F13" s="52"/>
      <c r="G13" s="45"/>
      <c r="H13" s="102"/>
      <c r="I13" s="46"/>
      <c r="J13" s="46"/>
      <c r="K13" s="46"/>
      <c r="L13" s="46"/>
      <c r="M13" s="46"/>
      <c r="N13" s="53"/>
      <c r="O13" s="46"/>
      <c r="P13" s="102"/>
      <c r="Q13" s="52"/>
      <c r="R13" s="46"/>
      <c r="S13" s="102"/>
      <c r="T13" s="46"/>
      <c r="U13" s="332"/>
      <c r="V13" s="46"/>
      <c r="W13" s="101"/>
      <c r="X13" s="45"/>
      <c r="Y13" s="52"/>
      <c r="Z13" s="45"/>
      <c r="AA13" s="101"/>
      <c r="AB13" s="52"/>
      <c r="AC13" s="351"/>
    </row>
    <row r="14" spans="1:29" ht="12.75">
      <c r="A14" s="344">
        <v>13</v>
      </c>
      <c r="B14" s="355" t="s">
        <v>239</v>
      </c>
      <c r="C14" s="45"/>
      <c r="D14" s="101"/>
      <c r="E14" s="45"/>
      <c r="F14" s="52"/>
      <c r="G14" s="45"/>
      <c r="H14" s="102"/>
      <c r="I14" s="46"/>
      <c r="J14" s="46"/>
      <c r="K14" s="46"/>
      <c r="L14" s="46"/>
      <c r="M14" s="46"/>
      <c r="N14" s="53"/>
      <c r="O14" s="46"/>
      <c r="P14" s="102"/>
      <c r="Q14" s="52"/>
      <c r="R14" s="46"/>
      <c r="S14" s="326"/>
      <c r="T14" s="97"/>
      <c r="U14" s="335"/>
      <c r="V14" s="46"/>
      <c r="W14" s="101"/>
      <c r="X14" s="45"/>
      <c r="Y14" s="52"/>
      <c r="Z14" s="45"/>
      <c r="AA14" s="101"/>
      <c r="AB14" s="52"/>
      <c r="AC14" s="351"/>
    </row>
    <row r="15" spans="1:29" ht="12.75">
      <c r="A15" s="344"/>
      <c r="B15" s="355"/>
      <c r="C15" s="45"/>
      <c r="D15" s="101"/>
      <c r="E15" s="45"/>
      <c r="F15" s="52"/>
      <c r="G15" s="45"/>
      <c r="H15" s="102"/>
      <c r="I15" s="46"/>
      <c r="J15" s="46"/>
      <c r="K15" s="46"/>
      <c r="L15" s="46"/>
      <c r="M15" s="46"/>
      <c r="N15" s="53"/>
      <c r="O15" s="46"/>
      <c r="P15" s="102"/>
      <c r="Q15" s="52"/>
      <c r="R15" s="46"/>
      <c r="S15" s="326"/>
      <c r="T15" s="97"/>
      <c r="U15" s="335"/>
      <c r="V15" s="46"/>
      <c r="W15" s="101"/>
      <c r="X15" s="45"/>
      <c r="Y15" s="52"/>
      <c r="Z15" s="45"/>
      <c r="AA15" s="101"/>
      <c r="AB15" s="52"/>
      <c r="AC15" s="351"/>
    </row>
    <row r="16" spans="1:31" ht="12.75">
      <c r="A16" s="344">
        <v>14</v>
      </c>
      <c r="B16" s="356" t="s">
        <v>266</v>
      </c>
      <c r="C16" s="45"/>
      <c r="D16" s="357">
        <f>'Data Inputs - 2011'!O134</f>
        <v>4786039.2166062165</v>
      </c>
      <c r="E16" s="358">
        <v>4732082.168522659</v>
      </c>
      <c r="F16" s="479">
        <f>E16-D16</f>
        <v>-53957.04808355775</v>
      </c>
      <c r="G16" s="358"/>
      <c r="H16" s="360">
        <f>'Data Inputs - 2011'!O35</f>
        <v>7114382.6192795085</v>
      </c>
      <c r="I16" s="361">
        <f>+'AA Calculation'!S16</f>
        <v>12063526.422848739</v>
      </c>
      <c r="J16" s="361">
        <f>I16-H16</f>
        <v>4949143.80356923</v>
      </c>
      <c r="K16" s="361">
        <v>11819949.439570248</v>
      </c>
      <c r="L16" s="361">
        <f>J16+K16+F16</f>
        <v>16715136.19505592</v>
      </c>
      <c r="M16" s="95">
        <f>+IF(OR(I16=0,H16="NA",I16="NA"),"NA",L16/(I16+E16))</f>
        <v>0.9952087240020097</v>
      </c>
      <c r="N16" s="68">
        <f>+L16/L$32</f>
        <v>0.37144413203073906</v>
      </c>
      <c r="O16" s="95"/>
      <c r="P16" s="316">
        <f>+N16*P$32</f>
        <v>1853973.240213625</v>
      </c>
      <c r="Q16" s="332">
        <f>+L16+P16</f>
        <v>18569109.435269546</v>
      </c>
      <c r="R16" s="325"/>
      <c r="S16" s="362">
        <f>L16/($L$32-($L$24*(('Data Inputs - 2012'!$N$15-'BA Calculation'!$AA$24)/'Data Inputs - 2012'!$N$15)))</f>
        <v>0.4258697510615446</v>
      </c>
      <c r="T16" s="363">
        <f>S16*$T$32</f>
        <v>2720827.1411908614</v>
      </c>
      <c r="U16" s="364">
        <f>Q16+T16</f>
        <v>21289936.576460406</v>
      </c>
      <c r="V16" s="325"/>
      <c r="W16" s="365">
        <f>S16</f>
        <v>0.4258697510615446</v>
      </c>
      <c r="X16" s="358">
        <f>W16*$X$32</f>
        <v>6179661.808682489</v>
      </c>
      <c r="Y16" s="359">
        <f>U16-X16</f>
        <v>15110274.767777916</v>
      </c>
      <c r="Z16" s="45"/>
      <c r="AA16" s="462">
        <v>4256431755.701</v>
      </c>
      <c r="AB16" s="317">
        <f>+ROUND(Y16/AA16*100,3)</f>
        <v>0.355</v>
      </c>
      <c r="AC16" s="334"/>
      <c r="AE16" s="358"/>
    </row>
    <row r="17" spans="1:31" ht="12.75">
      <c r="A17" s="344">
        <v>15</v>
      </c>
      <c r="B17" s="356"/>
      <c r="C17" s="45"/>
      <c r="D17" s="101"/>
      <c r="E17" s="45"/>
      <c r="F17" s="52"/>
      <c r="G17" s="45"/>
      <c r="H17" s="360"/>
      <c r="I17" s="361"/>
      <c r="J17" s="361"/>
      <c r="K17" s="361"/>
      <c r="L17" s="361"/>
      <c r="M17" s="95"/>
      <c r="N17" s="68"/>
      <c r="O17" s="95"/>
      <c r="P17" s="316"/>
      <c r="Q17" s="332"/>
      <c r="R17" s="325"/>
      <c r="S17" s="366"/>
      <c r="T17" s="325"/>
      <c r="U17" s="332"/>
      <c r="V17" s="325"/>
      <c r="W17" s="367"/>
      <c r="X17" s="358"/>
      <c r="Y17" s="359"/>
      <c r="Z17" s="45"/>
      <c r="AA17" s="101"/>
      <c r="AB17" s="368"/>
      <c r="AC17" s="334"/>
      <c r="AE17" s="358"/>
    </row>
    <row r="18" spans="1:31" ht="12.75">
      <c r="A18" s="344">
        <v>16</v>
      </c>
      <c r="B18" s="356" t="s">
        <v>13</v>
      </c>
      <c r="C18" s="45"/>
      <c r="D18" s="357">
        <f>'Data Inputs - 2011'!O135</f>
        <v>307974.3976453086</v>
      </c>
      <c r="E18" s="358">
        <v>268312.3417737877</v>
      </c>
      <c r="F18" s="479">
        <f aca="true" t="shared" si="0" ref="F18:F26">E18-D18</f>
        <v>-39662.05587152089</v>
      </c>
      <c r="G18" s="358"/>
      <c r="H18" s="360">
        <f>'Data Inputs - 2011'!O36</f>
        <v>401810.3469278635</v>
      </c>
      <c r="I18" s="361">
        <f>'AA Calculation'!S18</f>
        <v>644555.1950967209</v>
      </c>
      <c r="J18" s="361">
        <f aca="true" t="shared" si="1" ref="J18:J26">I18-H18</f>
        <v>242744.84816885745</v>
      </c>
      <c r="K18" s="361">
        <v>663121.0057915762</v>
      </c>
      <c r="L18" s="361">
        <f aca="true" t="shared" si="2" ref="L18:L26">J18+K18+F18</f>
        <v>866203.7980889129</v>
      </c>
      <c r="M18" s="95">
        <f aca="true" t="shared" si="3" ref="M18:M27">+IF(OR(I18=0,H18="NA",I18="NA"),"NA",L18/I18)</f>
        <v>1.3438783903664475</v>
      </c>
      <c r="N18" s="68">
        <f aca="true" t="shared" si="4" ref="N18:N26">+L18/L$32</f>
        <v>0.019248800260331315</v>
      </c>
      <c r="O18" s="95"/>
      <c r="P18" s="316">
        <f aca="true" t="shared" si="5" ref="P18:P26">+N18*P$32</f>
        <v>96075.71505778436</v>
      </c>
      <c r="Q18" s="332">
        <f aca="true" t="shared" si="6" ref="Q18:Q26">+L18+P18</f>
        <v>962279.5131466972</v>
      </c>
      <c r="R18" s="325"/>
      <c r="S18" s="362">
        <f>L18/($L$32-($L$24*(('Data Inputs - 2012'!$N$15-'BA Calculation'!$AA$24)/'Data Inputs - 2012'!$N$15)))</f>
        <v>0.022069218674377403</v>
      </c>
      <c r="T18" s="363">
        <f aca="true" t="shared" si="7" ref="T18:T26">S18*$T$32</f>
        <v>140997.40355929767</v>
      </c>
      <c r="U18" s="364">
        <f aca="true" t="shared" si="8" ref="U18:U23">Q18+T18</f>
        <v>1103276.9167059949</v>
      </c>
      <c r="V18" s="325"/>
      <c r="W18" s="365">
        <f aca="true" t="shared" si="9" ref="W18:W27">S18</f>
        <v>0.022069218674377403</v>
      </c>
      <c r="X18" s="358">
        <f aca="true" t="shared" si="10" ref="X18:X27">W18*$X$32</f>
        <v>320239.48038000806</v>
      </c>
      <c r="Y18" s="359">
        <f>U18-X18</f>
        <v>783037.4363259869</v>
      </c>
      <c r="Z18" s="45"/>
      <c r="AA18" s="333">
        <v>223726062.413</v>
      </c>
      <c r="AB18" s="317">
        <f aca="true" t="shared" si="11" ref="AB18:AB27">+ROUND(Y18/AA18*100,3)</f>
        <v>0.35</v>
      </c>
      <c r="AC18" s="334"/>
      <c r="AE18" s="358"/>
    </row>
    <row r="19" spans="1:31" ht="12.75">
      <c r="A19" s="344">
        <v>17</v>
      </c>
      <c r="B19" s="356" t="s">
        <v>14</v>
      </c>
      <c r="C19" s="45"/>
      <c r="D19" s="357">
        <f>'Data Inputs - 2011'!O136</f>
        <v>2855071.9828353347</v>
      </c>
      <c r="E19" s="358">
        <v>2778938.81311973</v>
      </c>
      <c r="F19" s="479">
        <f t="shared" si="0"/>
        <v>-76133.16971560474</v>
      </c>
      <c r="G19" s="358"/>
      <c r="H19" s="360">
        <f>'Data Inputs - 2011'!O37</f>
        <v>3273487.7044577543</v>
      </c>
      <c r="I19" s="361">
        <f>'AA Calculation'!S19</f>
        <v>6152086.702882651</v>
      </c>
      <c r="J19" s="361">
        <f t="shared" si="1"/>
        <v>2878598.998424897</v>
      </c>
      <c r="K19" s="361">
        <v>7372440.8608204005</v>
      </c>
      <c r="L19" s="361">
        <f t="shared" si="2"/>
        <v>10174906.68952969</v>
      </c>
      <c r="M19" s="95">
        <f t="shared" si="3"/>
        <v>1.6538952035188463</v>
      </c>
      <c r="N19" s="68">
        <f t="shared" si="4"/>
        <v>0.22610700503319905</v>
      </c>
      <c r="O19" s="95"/>
      <c r="P19" s="316">
        <f>+N19*P$32</f>
        <v>1128558.2422976806</v>
      </c>
      <c r="Q19" s="332">
        <f t="shared" si="6"/>
        <v>11303464.931827372</v>
      </c>
      <c r="R19" s="325"/>
      <c r="S19" s="362">
        <f>L19/($L$32-($L$24*(('Data Inputs - 2012'!$N$15-'BA Calculation'!$AA$24)/'Data Inputs - 2012'!$N$15)))</f>
        <v>0.25923719246907145</v>
      </c>
      <c r="T19" s="363">
        <f t="shared" si="7"/>
        <v>1656233.1264848076</v>
      </c>
      <c r="U19" s="364">
        <f t="shared" si="8"/>
        <v>12959698.05831218</v>
      </c>
      <c r="V19" s="325"/>
      <c r="W19" s="365">
        <f t="shared" si="9"/>
        <v>0.25923719246907145</v>
      </c>
      <c r="X19" s="358">
        <f t="shared" si="10"/>
        <v>3761709.240203068</v>
      </c>
      <c r="Y19" s="359">
        <f aca="true" t="shared" si="12" ref="Y19:Y26">U19-X19</f>
        <v>9197988.818109112</v>
      </c>
      <c r="Z19" s="45"/>
      <c r="AA19" s="333">
        <v>2439459240.789</v>
      </c>
      <c r="AB19" s="317">
        <f t="shared" si="11"/>
        <v>0.377</v>
      </c>
      <c r="AC19" s="334"/>
      <c r="AE19" s="358"/>
    </row>
    <row r="20" spans="1:31" ht="12.75">
      <c r="A20" s="344">
        <v>18</v>
      </c>
      <c r="B20" s="356" t="s">
        <v>15</v>
      </c>
      <c r="C20" s="45"/>
      <c r="D20" s="357">
        <f>'Data Inputs - 2011'!O137</f>
        <v>456706.0794305202</v>
      </c>
      <c r="E20" s="358">
        <v>443209.9280140606</v>
      </c>
      <c r="F20" s="479">
        <f t="shared" si="0"/>
        <v>-13496.151416459586</v>
      </c>
      <c r="G20" s="358"/>
      <c r="H20" s="360">
        <f>'Data Inputs - 2011'!O38</f>
        <v>386124.2307912579</v>
      </c>
      <c r="I20" s="361">
        <f>'AA Calculation'!S20</f>
        <v>821691.5645553246</v>
      </c>
      <c r="J20" s="361">
        <f t="shared" si="1"/>
        <v>435567.3337640667</v>
      </c>
      <c r="K20" s="361">
        <v>1174643.2628572336</v>
      </c>
      <c r="L20" s="361">
        <f t="shared" si="2"/>
        <v>1596714.4452048407</v>
      </c>
      <c r="M20" s="95">
        <f>+IF(OR(I20=0,H20="NA",I20="NA"),"NA",L20/I20)</f>
        <v>1.9432041341071036</v>
      </c>
      <c r="N20" s="68">
        <f t="shared" si="4"/>
        <v>0.035482224271405106</v>
      </c>
      <c r="O20" s="95"/>
      <c r="P20" s="316">
        <f t="shared" si="5"/>
        <v>177100.91136127987</v>
      </c>
      <c r="Q20" s="332">
        <f>+L20+P20</f>
        <v>1773815.3565661206</v>
      </c>
      <c r="R20" s="325"/>
      <c r="S20" s="362">
        <f>L20/($L$32-($L$24*(('Data Inputs - 2012'!$N$15-'BA Calculation'!$AA$24)/'Data Inputs - 2012'!$N$15)))</f>
        <v>0.04068123498131526</v>
      </c>
      <c r="T20" s="363">
        <f t="shared" si="7"/>
        <v>259907.1852330967</v>
      </c>
      <c r="U20" s="364">
        <f t="shared" si="8"/>
        <v>2033722.5417992175</v>
      </c>
      <c r="V20" s="325"/>
      <c r="W20" s="365">
        <f t="shared" si="9"/>
        <v>0.04068123498131526</v>
      </c>
      <c r="X20" s="358">
        <f t="shared" si="10"/>
        <v>590312.5862248467</v>
      </c>
      <c r="Y20" s="359">
        <f t="shared" si="12"/>
        <v>1443409.955574371</v>
      </c>
      <c r="Z20" s="45"/>
      <c r="AA20" s="333">
        <v>397470793.685</v>
      </c>
      <c r="AB20" s="317">
        <f t="shared" si="11"/>
        <v>0.363</v>
      </c>
      <c r="AC20" s="334"/>
      <c r="AE20" s="358"/>
    </row>
    <row r="21" spans="1:31" ht="12.75">
      <c r="A21" s="344">
        <v>19</v>
      </c>
      <c r="B21" s="356" t="s">
        <v>16</v>
      </c>
      <c r="C21" s="45"/>
      <c r="D21" s="357">
        <f>'Data Inputs - 2011'!O138</f>
        <v>296717.48713396175</v>
      </c>
      <c r="E21" s="358">
        <v>282709.72636009846</v>
      </c>
      <c r="F21" s="479">
        <f t="shared" si="0"/>
        <v>-14007.760773863294</v>
      </c>
      <c r="G21" s="358"/>
      <c r="H21" s="360">
        <f>'Data Inputs - 2011'!O39</f>
        <v>317180.7621087178</v>
      </c>
      <c r="I21" s="361">
        <f>'AA Calculation'!S21</f>
        <v>588907.5641564596</v>
      </c>
      <c r="J21" s="361">
        <f t="shared" si="1"/>
        <v>271726.80204774183</v>
      </c>
      <c r="K21" s="361">
        <v>711518.041531261</v>
      </c>
      <c r="L21" s="361">
        <f t="shared" si="2"/>
        <v>969237.0828051396</v>
      </c>
      <c r="M21" s="95">
        <f t="shared" si="3"/>
        <v>1.6458220980629734</v>
      </c>
      <c r="N21" s="68">
        <f t="shared" si="4"/>
        <v>0.02153840822792986</v>
      </c>
      <c r="O21" s="95"/>
      <c r="P21" s="316">
        <f t="shared" si="5"/>
        <v>107503.73756900367</v>
      </c>
      <c r="Q21" s="332">
        <f t="shared" si="6"/>
        <v>1076740.8203741433</v>
      </c>
      <c r="R21" s="325"/>
      <c r="S21" s="362">
        <f>L21/($L$32-($L$24*(('Data Inputs - 2012'!$N$15-'BA Calculation'!$AA$24)/'Data Inputs - 2012'!$N$15)))</f>
        <v>0.024694310016805793</v>
      </c>
      <c r="T21" s="363">
        <f t="shared" si="7"/>
        <v>157768.77498161813</v>
      </c>
      <c r="U21" s="364">
        <f t="shared" si="8"/>
        <v>1234509.5953557615</v>
      </c>
      <c r="V21" s="325"/>
      <c r="W21" s="365">
        <f t="shared" si="9"/>
        <v>0.024694310016805793</v>
      </c>
      <c r="X21" s="358">
        <f t="shared" si="10"/>
        <v>358331.35394621355</v>
      </c>
      <c r="Y21" s="359">
        <f t="shared" si="12"/>
        <v>876178.2414095479</v>
      </c>
      <c r="Z21" s="45"/>
      <c r="AA21" s="333">
        <v>257632430.481</v>
      </c>
      <c r="AB21" s="317">
        <f t="shared" si="11"/>
        <v>0.34</v>
      </c>
      <c r="AC21" s="334"/>
      <c r="AE21" s="358"/>
    </row>
    <row r="22" spans="1:31" ht="12.75">
      <c r="A22" s="344">
        <v>20</v>
      </c>
      <c r="B22" s="356" t="s">
        <v>17</v>
      </c>
      <c r="C22" s="45"/>
      <c r="D22" s="357">
        <f>'Data Inputs - 2011'!O139</f>
        <v>608766.5171163699</v>
      </c>
      <c r="E22" s="358">
        <v>561328.8022356323</v>
      </c>
      <c r="F22" s="479">
        <f t="shared" si="0"/>
        <v>-47437.71488073759</v>
      </c>
      <c r="G22" s="358"/>
      <c r="H22" s="360">
        <f>'Data Inputs - 2011'!O40</f>
        <v>544944.2209670731</v>
      </c>
      <c r="I22" s="361">
        <f>'AA Calculation'!S22</f>
        <v>1055932.3255619733</v>
      </c>
      <c r="J22" s="361">
        <f t="shared" si="1"/>
        <v>510988.10459490016</v>
      </c>
      <c r="K22" s="361">
        <v>1372191.92252938</v>
      </c>
      <c r="L22" s="361">
        <f t="shared" si="2"/>
        <v>1835742.3122435426</v>
      </c>
      <c r="M22" s="95">
        <f t="shared" si="3"/>
        <v>1.7385037542690531</v>
      </c>
      <c r="N22" s="68">
        <f t="shared" si="4"/>
        <v>0.04079390690248118</v>
      </c>
      <c r="O22" s="95"/>
      <c r="P22" s="316">
        <f t="shared" si="5"/>
        <v>203612.88613574632</v>
      </c>
      <c r="Q22" s="332">
        <f t="shared" si="6"/>
        <v>2039355.198379289</v>
      </c>
      <c r="R22" s="325"/>
      <c r="S22" s="362">
        <f>L22/($L$32-($L$24*(('Data Inputs - 2012'!$N$15-'BA Calculation'!$AA$24)/'Data Inputs - 2012'!$N$15)))</f>
        <v>0.04677120858635554</v>
      </c>
      <c r="T22" s="363">
        <f>S22*$T$32</f>
        <v>298815.2444047728</v>
      </c>
      <c r="U22" s="364">
        <f t="shared" si="8"/>
        <v>2338170.4427840617</v>
      </c>
      <c r="V22" s="325"/>
      <c r="W22" s="365">
        <f t="shared" si="9"/>
        <v>0.04677120858635554</v>
      </c>
      <c r="X22" s="358">
        <f t="shared" si="10"/>
        <v>678682.2748659005</v>
      </c>
      <c r="Y22" s="359">
        <f t="shared" si="12"/>
        <v>1659488.167918161</v>
      </c>
      <c r="Z22" s="45"/>
      <c r="AA22" s="333">
        <v>505845218.619</v>
      </c>
      <c r="AB22" s="317">
        <f t="shared" si="11"/>
        <v>0.328</v>
      </c>
      <c r="AC22" s="334"/>
      <c r="AE22" s="358"/>
    </row>
    <row r="23" spans="1:31" ht="12.75">
      <c r="A23" s="344">
        <v>21</v>
      </c>
      <c r="B23" s="356" t="s">
        <v>18</v>
      </c>
      <c r="C23" s="45"/>
      <c r="D23" s="357">
        <f>'Data Inputs - 2011'!O140</f>
        <v>917357.3352908132</v>
      </c>
      <c r="E23" s="358">
        <v>941282.5409921759</v>
      </c>
      <c r="F23" s="359">
        <f t="shared" si="0"/>
        <v>23925.20570136269</v>
      </c>
      <c r="G23" s="358"/>
      <c r="H23" s="360">
        <f>'Data Inputs - 2011'!O41</f>
        <v>750565.0925106652</v>
      </c>
      <c r="I23" s="361">
        <f>'AA Calculation'!S23</f>
        <v>1738687.965479141</v>
      </c>
      <c r="J23" s="361">
        <f t="shared" si="1"/>
        <v>988122.8729684759</v>
      </c>
      <c r="K23" s="361">
        <v>2500540.847092755</v>
      </c>
      <c r="L23" s="361">
        <f t="shared" si="2"/>
        <v>3512588.9257625937</v>
      </c>
      <c r="M23" s="95">
        <f t="shared" si="3"/>
        <v>2.0202526246822026</v>
      </c>
      <c r="N23" s="68">
        <f t="shared" si="4"/>
        <v>0.07805683001832746</v>
      </c>
      <c r="O23" s="95"/>
      <c r="P23" s="316">
        <f t="shared" si="5"/>
        <v>389601.7236258472</v>
      </c>
      <c r="Q23" s="332">
        <f>+L23+P23</f>
        <v>3902190.649388441</v>
      </c>
      <c r="R23" s="325"/>
      <c r="S23" s="362">
        <f>L23/($L$32-($L$24*(('Data Inputs - 2012'!$N$15-'BA Calculation'!$AA$24)/'Data Inputs - 2012'!$N$15)))</f>
        <v>0.08949405819609893</v>
      </c>
      <c r="T23" s="363">
        <f t="shared" si="7"/>
        <v>571766.0432756853</v>
      </c>
      <c r="U23" s="364">
        <f t="shared" si="8"/>
        <v>4473956.692664126</v>
      </c>
      <c r="V23" s="325"/>
      <c r="W23" s="365">
        <f>S23</f>
        <v>0.08949405819609893</v>
      </c>
      <c r="X23" s="358">
        <f t="shared" si="10"/>
        <v>1298620.08785526</v>
      </c>
      <c r="Y23" s="359">
        <f t="shared" si="12"/>
        <v>3175336.604808866</v>
      </c>
      <c r="Z23" s="45"/>
      <c r="AA23" s="333">
        <v>936296194.4990001</v>
      </c>
      <c r="AB23" s="317">
        <f t="shared" si="11"/>
        <v>0.339</v>
      </c>
      <c r="AC23" s="334"/>
      <c r="AE23" s="358"/>
    </row>
    <row r="24" spans="1:31" ht="12.75">
      <c r="A24" s="344">
        <v>22</v>
      </c>
      <c r="B24" s="356" t="s">
        <v>42</v>
      </c>
      <c r="C24" s="45"/>
      <c r="D24" s="357">
        <f>'Data Inputs - 2011'!O141</f>
        <v>1608982.8121500004</v>
      </c>
      <c r="E24" s="358">
        <v>2140817.1884552655</v>
      </c>
      <c r="F24" s="359">
        <f t="shared" si="0"/>
        <v>531834.3763052651</v>
      </c>
      <c r="G24" s="358"/>
      <c r="H24" s="360">
        <f>'Data Inputs - 2011'!O42</f>
        <v>1174122.59265</v>
      </c>
      <c r="I24" s="361">
        <f>'AA Calculation'!S24</f>
        <v>3399866.3668552395</v>
      </c>
      <c r="J24" s="361">
        <f t="shared" si="1"/>
        <v>2225743.7742052395</v>
      </c>
      <c r="K24" s="361">
        <v>4842271.791362871</v>
      </c>
      <c r="L24" s="361">
        <f t="shared" si="2"/>
        <v>7599849.941873376</v>
      </c>
      <c r="M24" s="95">
        <f t="shared" si="3"/>
        <v>2.235337840323112</v>
      </c>
      <c r="N24" s="68">
        <f t="shared" si="4"/>
        <v>0.16888403613833522</v>
      </c>
      <c r="O24" s="95"/>
      <c r="P24" s="316">
        <f t="shared" si="5"/>
        <v>842943.6803536123</v>
      </c>
      <c r="Q24" s="332">
        <f t="shared" si="6"/>
        <v>8442793.622226989</v>
      </c>
      <c r="R24" s="325"/>
      <c r="S24" s="362">
        <f>(L24-(L24*(('Data Inputs - 2012'!N15-'BA Calculation'!AA24)/'Data Inputs - 2012'!N15)))/($L$32-($L$24*('Data Inputs - 2012'!N15-'BA Calculation'!AA24)/'Data Inputs - 2012'!N15))</f>
        <v>0.04710528956814486</v>
      </c>
      <c r="T24" s="363">
        <f t="shared" si="7"/>
        <v>300949.6448883533</v>
      </c>
      <c r="U24" s="364">
        <f>Q24-T32+T24</f>
        <v>2354871.7062477553</v>
      </c>
      <c r="V24" s="325"/>
      <c r="W24" s="365">
        <f t="shared" si="9"/>
        <v>0.04710528956814486</v>
      </c>
      <c r="X24" s="358">
        <f t="shared" si="10"/>
        <v>683530.0187571361</v>
      </c>
      <c r="Y24" s="359">
        <f t="shared" si="12"/>
        <v>1671341.6874906193</v>
      </c>
      <c r="Z24" s="45"/>
      <c r="AA24" s="333">
        <v>441378432</v>
      </c>
      <c r="AB24" s="317">
        <f t="shared" si="11"/>
        <v>0.379</v>
      </c>
      <c r="AC24" s="334"/>
      <c r="AE24" s="358"/>
    </row>
    <row r="25" spans="1:31" ht="12.75">
      <c r="A25" s="344">
        <v>23</v>
      </c>
      <c r="B25" s="356" t="s">
        <v>19</v>
      </c>
      <c r="C25" s="45"/>
      <c r="D25" s="357">
        <f>'Data Inputs - 2011'!O142</f>
        <v>203472.7477882028</v>
      </c>
      <c r="E25" s="358">
        <v>207367.00688945124</v>
      </c>
      <c r="F25" s="359">
        <f t="shared" si="0"/>
        <v>3894.2591012484336</v>
      </c>
      <c r="G25" s="358"/>
      <c r="H25" s="360">
        <f>'Data Inputs - 2011'!O43</f>
        <v>218975.43333397066</v>
      </c>
      <c r="I25" s="361">
        <f>'AA Calculation'!S25</f>
        <v>445126.5751229988</v>
      </c>
      <c r="J25" s="361">
        <f t="shared" si="1"/>
        <v>226151.14178902813</v>
      </c>
      <c r="K25" s="361">
        <v>546672.4004905612</v>
      </c>
      <c r="L25" s="361">
        <f>J25+K25+F25</f>
        <v>776717.8013808377</v>
      </c>
      <c r="M25" s="95">
        <f t="shared" si="3"/>
        <v>1.744936934323035</v>
      </c>
      <c r="N25" s="68">
        <f t="shared" si="4"/>
        <v>0.017260240431188664</v>
      </c>
      <c r="O25" s="95"/>
      <c r="P25" s="316">
        <f t="shared" si="5"/>
        <v>86150.30126907183</v>
      </c>
      <c r="Q25" s="332">
        <f t="shared" si="6"/>
        <v>862868.1026499096</v>
      </c>
      <c r="R25" s="325"/>
      <c r="S25" s="362">
        <f>L25/($L$32-($L$24*(('Data Inputs - 2012'!$N$15-'BA Calculation'!$AA$24)/'Data Inputs - 2012'!$N$15)))</f>
        <v>0.019789286360524384</v>
      </c>
      <c r="T25" s="363">
        <f t="shared" si="7"/>
        <v>126431.20883861907</v>
      </c>
      <c r="U25" s="364">
        <f>Q25+T25</f>
        <v>989299.3114885286</v>
      </c>
      <c r="V25" s="325"/>
      <c r="W25" s="365">
        <f t="shared" si="9"/>
        <v>0.019789286360524384</v>
      </c>
      <c r="X25" s="358">
        <f t="shared" si="10"/>
        <v>287156.1007523658</v>
      </c>
      <c r="Y25" s="359">
        <f>U25-X25</f>
        <v>702143.2107361628</v>
      </c>
      <c r="Z25" s="45"/>
      <c r="AA25" s="333">
        <v>194541877.01</v>
      </c>
      <c r="AB25" s="317">
        <f t="shared" si="11"/>
        <v>0.361</v>
      </c>
      <c r="AC25" s="334"/>
      <c r="AE25" s="358"/>
    </row>
    <row r="26" spans="1:31" ht="15">
      <c r="A26" s="344">
        <v>24</v>
      </c>
      <c r="B26" s="356" t="s">
        <v>265</v>
      </c>
      <c r="C26" s="45"/>
      <c r="D26" s="357">
        <f>'Data Inputs - 2011'!O143</f>
        <v>142437.33785558652</v>
      </c>
      <c r="E26" s="358">
        <v>140553.3954068851</v>
      </c>
      <c r="F26" s="479">
        <f t="shared" si="0"/>
        <v>-1883.9424487014185</v>
      </c>
      <c r="G26" s="358"/>
      <c r="H26" s="360">
        <f>'Data Inputs - 2011'!O44</f>
        <v>118507.86509584801</v>
      </c>
      <c r="I26" s="361">
        <f>'AA Calculation'!S26</f>
        <v>252975.46695594175</v>
      </c>
      <c r="J26" s="361">
        <f t="shared" si="1"/>
        <v>134467.60186009374</v>
      </c>
      <c r="K26" s="361">
        <v>335277.9697085526</v>
      </c>
      <c r="L26" s="361">
        <f t="shared" si="2"/>
        <v>467861.62911994493</v>
      </c>
      <c r="M26" s="96">
        <f t="shared" si="3"/>
        <v>1.8494347880833353</v>
      </c>
      <c r="N26" s="68">
        <f t="shared" si="4"/>
        <v>0.010396831632777737</v>
      </c>
      <c r="O26" s="96"/>
      <c r="P26" s="316">
        <f t="shared" si="5"/>
        <v>51893.26191477243</v>
      </c>
      <c r="Q26" s="332">
        <f t="shared" si="6"/>
        <v>519754.8910347174</v>
      </c>
      <c r="R26" s="325"/>
      <c r="S26" s="362">
        <f>L26/($L$32-($L$24*(('Data Inputs - 2012'!$N$15-'BA Calculation'!$AA$24)/'Data Inputs - 2012'!$N$15)))</f>
        <v>0.011920220882405623</v>
      </c>
      <c r="T26" s="363">
        <f t="shared" si="7"/>
        <v>76156.76019486121</v>
      </c>
      <c r="U26" s="364">
        <f>Q26+T26</f>
        <v>595911.6512295785</v>
      </c>
      <c r="V26" s="325"/>
      <c r="W26" s="365">
        <f t="shared" si="9"/>
        <v>0.011920220882405623</v>
      </c>
      <c r="X26" s="358">
        <f t="shared" si="10"/>
        <v>172970.57035501004</v>
      </c>
      <c r="Y26" s="359">
        <f t="shared" si="12"/>
        <v>422941.0808745685</v>
      </c>
      <c r="Z26" s="45"/>
      <c r="AA26" s="333">
        <v>112280645.098</v>
      </c>
      <c r="AB26" s="317">
        <f t="shared" si="11"/>
        <v>0.377</v>
      </c>
      <c r="AC26" s="369"/>
      <c r="AE26" s="358"/>
    </row>
    <row r="27" spans="1:31" ht="29.25" customHeight="1">
      <c r="A27" s="344">
        <v>25</v>
      </c>
      <c r="B27" s="378" t="s">
        <v>337</v>
      </c>
      <c r="C27" s="45"/>
      <c r="D27" s="370">
        <f>SUM(D16:D26)</f>
        <v>12183525.913852314</v>
      </c>
      <c r="E27" s="371">
        <f>SUM(E16:E26)</f>
        <v>12496601.911769746</v>
      </c>
      <c r="F27" s="372">
        <f>SUM(F16:F26)</f>
        <v>313075.997917431</v>
      </c>
      <c r="G27" s="371"/>
      <c r="H27" s="360">
        <f>SUM(H16:H26)</f>
        <v>14300100.868122658</v>
      </c>
      <c r="I27" s="361">
        <f>SUM(I16:I26)</f>
        <v>27163356.149515186</v>
      </c>
      <c r="J27" s="361">
        <f>SUM(J16:J26)</f>
        <v>12863255.28139253</v>
      </c>
      <c r="K27" s="361">
        <f>SUM(K16:K26)</f>
        <v>31338627.541754834</v>
      </c>
      <c r="L27" s="361">
        <f>SUM(L16:L26)</f>
        <v>44514958.8210648</v>
      </c>
      <c r="M27" s="95">
        <f t="shared" si="3"/>
        <v>1.6387871430923793</v>
      </c>
      <c r="N27" s="68">
        <f>SUM(N16:N26)</f>
        <v>0.9892124149467146</v>
      </c>
      <c r="O27" s="95"/>
      <c r="P27" s="316">
        <f>SUM(P16:P26)</f>
        <v>4937413.699798424</v>
      </c>
      <c r="Q27" s="332">
        <f>SUM(Q16:Q26)</f>
        <v>49452372.52086322</v>
      </c>
      <c r="R27" s="325"/>
      <c r="S27" s="362">
        <f>SUM(S16:S26)</f>
        <v>0.9876317707966438</v>
      </c>
      <c r="T27" s="363">
        <f>S27*$U$14</f>
        <v>0</v>
      </c>
      <c r="U27" s="364">
        <f>SUM(U16:U26)</f>
        <v>49373353.49304761</v>
      </c>
      <c r="V27" s="325"/>
      <c r="W27" s="365">
        <f t="shared" si="9"/>
        <v>0.9876317707966438</v>
      </c>
      <c r="X27" s="358">
        <f t="shared" si="10"/>
        <v>14331213.522022298</v>
      </c>
      <c r="Y27" s="359">
        <f>SUM(Y16:Y26)</f>
        <v>35042139.97102531</v>
      </c>
      <c r="Z27" s="45"/>
      <c r="AA27" s="333">
        <f>SUM(AA16:AA26)</f>
        <v>9765062650.295</v>
      </c>
      <c r="AB27" s="317">
        <f t="shared" si="11"/>
        <v>0.359</v>
      </c>
      <c r="AC27" s="373"/>
      <c r="AE27" s="308"/>
    </row>
    <row r="28" spans="1:29" ht="12.75">
      <c r="A28" s="344">
        <v>26</v>
      </c>
      <c r="B28" s="356"/>
      <c r="C28" s="45"/>
      <c r="D28" s="101"/>
      <c r="E28" s="45"/>
      <c r="F28" s="52"/>
      <c r="G28" s="45"/>
      <c r="H28" s="360"/>
      <c r="I28" s="361"/>
      <c r="J28" s="361"/>
      <c r="K28" s="361"/>
      <c r="L28" s="361"/>
      <c r="M28" s="95"/>
      <c r="N28" s="68"/>
      <c r="O28" s="95"/>
      <c r="P28" s="316"/>
      <c r="Q28" s="332"/>
      <c r="R28" s="325"/>
      <c r="S28" s="366"/>
      <c r="T28" s="325"/>
      <c r="U28" s="332"/>
      <c r="V28" s="325"/>
      <c r="W28" s="367"/>
      <c r="X28" s="358"/>
      <c r="Y28" s="359"/>
      <c r="Z28" s="45"/>
      <c r="AA28" s="333"/>
      <c r="AB28" s="368"/>
      <c r="AC28" s="373"/>
    </row>
    <row r="29" spans="1:33" ht="12.75">
      <c r="A29" s="344">
        <v>27</v>
      </c>
      <c r="B29" s="348" t="s">
        <v>263</v>
      </c>
      <c r="C29" s="45"/>
      <c r="D29" s="357">
        <f>'Data Inputs - 2011'!O146+'Data Inputs - 2011'!O147</f>
        <v>143102.4</v>
      </c>
      <c r="E29" s="358">
        <v>143566.52532710438</v>
      </c>
      <c r="F29" s="359">
        <f>E29-D29</f>
        <v>464.12532710438245</v>
      </c>
      <c r="G29" s="358"/>
      <c r="H29" s="316">
        <f>'Data Inputs - 2011'!O47+'Data Inputs - 2011'!O48</f>
        <v>162778.97999999995</v>
      </c>
      <c r="I29" s="361">
        <f>'AA Calculation'!S29</f>
        <v>264926.5961930014</v>
      </c>
      <c r="J29" s="361">
        <f>I29-H29</f>
        <v>102147.61619300142</v>
      </c>
      <c r="K29" s="361">
        <v>382833.9495871961</v>
      </c>
      <c r="L29" s="361">
        <f>J29+K29+F29</f>
        <v>485445.69110730186</v>
      </c>
      <c r="M29" s="95">
        <f>+IF(OR(I29=0,H29="NA",I29="NA"),"NA",L29/I29)</f>
        <v>1.832378092962967</v>
      </c>
      <c r="N29" s="68">
        <f>+L29/L$32</f>
        <v>0.010787585053285339</v>
      </c>
      <c r="O29" s="95"/>
      <c r="P29" s="316">
        <f>+N29*P$32</f>
        <v>53843.61278229693</v>
      </c>
      <c r="Q29" s="332">
        <f>+L29+P29</f>
        <v>539289.3038895988</v>
      </c>
      <c r="R29" s="325"/>
      <c r="S29" s="362">
        <f>L29/($L$32-($L$24*(('Data Inputs - 2012'!$N$15-'BA Calculation'!$AA$24)/'Data Inputs - 2012'!$N$15)))</f>
        <v>0.012368229203356155</v>
      </c>
      <c r="T29" s="363">
        <f>S29*$T$32</f>
        <v>79019.02781561411</v>
      </c>
      <c r="U29" s="364">
        <f>Q29+T29</f>
        <v>618308.331705213</v>
      </c>
      <c r="V29" s="325"/>
      <c r="W29" s="365">
        <f>S29</f>
        <v>0.012368229203356155</v>
      </c>
      <c r="X29" s="358">
        <f>W29*$X$32</f>
        <v>179471.4779777021</v>
      </c>
      <c r="Y29" s="359">
        <f>U29-X29</f>
        <v>438836.85372751084</v>
      </c>
      <c r="Z29" s="45"/>
      <c r="AA29" s="333">
        <v>179928000</v>
      </c>
      <c r="AB29" s="317">
        <f>+ROUND(Y29/AA29*100,3)</f>
        <v>0.244</v>
      </c>
      <c r="AC29" s="373"/>
      <c r="AE29" s="358"/>
      <c r="AF29" s="374"/>
      <c r="AG29" s="375"/>
    </row>
    <row r="30" spans="1:32" ht="12.75">
      <c r="A30" s="344">
        <v>28</v>
      </c>
      <c r="B30" s="356"/>
      <c r="C30" s="45"/>
      <c r="D30" s="101"/>
      <c r="E30" s="45"/>
      <c r="F30" s="52"/>
      <c r="G30" s="45"/>
      <c r="H30" s="376"/>
      <c r="I30" s="377"/>
      <c r="J30" s="377"/>
      <c r="K30" s="377"/>
      <c r="L30" s="361"/>
      <c r="M30" s="95"/>
      <c r="N30" s="68"/>
      <c r="O30" s="95"/>
      <c r="P30" s="103"/>
      <c r="Q30" s="104"/>
      <c r="R30" s="98"/>
      <c r="S30" s="103"/>
      <c r="T30" s="98"/>
      <c r="U30" s="104"/>
      <c r="V30" s="98"/>
      <c r="W30" s="367"/>
      <c r="X30" s="358"/>
      <c r="Y30" s="359"/>
      <c r="Z30" s="45"/>
      <c r="AA30" s="333"/>
      <c r="AB30" s="368"/>
      <c r="AC30" s="373"/>
      <c r="AF30" s="374"/>
    </row>
    <row r="31" spans="1:29" ht="12.75">
      <c r="A31" s="344">
        <v>29</v>
      </c>
      <c r="B31" s="356"/>
      <c r="C31" s="45"/>
      <c r="D31" s="101"/>
      <c r="E31" s="45"/>
      <c r="F31" s="52"/>
      <c r="G31" s="45"/>
      <c r="H31" s="376"/>
      <c r="I31" s="377"/>
      <c r="J31" s="377"/>
      <c r="K31" s="377"/>
      <c r="L31" s="361"/>
      <c r="M31" s="95"/>
      <c r="N31" s="68"/>
      <c r="O31" s="95"/>
      <c r="P31" s="105"/>
      <c r="Q31" s="68"/>
      <c r="R31" s="95"/>
      <c r="S31" s="105"/>
      <c r="T31" s="95"/>
      <c r="U31" s="68"/>
      <c r="V31" s="95"/>
      <c r="W31" s="367"/>
      <c r="X31" s="358"/>
      <c r="Y31" s="359"/>
      <c r="Z31" s="45"/>
      <c r="AA31" s="333"/>
      <c r="AB31" s="52"/>
      <c r="AC31" s="373"/>
    </row>
    <row r="32" spans="1:31" ht="25.5" customHeight="1">
      <c r="A32" s="344">
        <v>30</v>
      </c>
      <c r="B32" s="378" t="s">
        <v>44</v>
      </c>
      <c r="C32" s="45"/>
      <c r="D32" s="370">
        <f>D27+D29</f>
        <v>12326628.313852314</v>
      </c>
      <c r="E32" s="371">
        <f>E27+E29</f>
        <v>12640168.437096851</v>
      </c>
      <c r="F32" s="372">
        <f>F27+F29</f>
        <v>313540.1232445354</v>
      </c>
      <c r="G32" s="371"/>
      <c r="H32" s="316">
        <f>+H29+H27</f>
        <v>14462879.848122658</v>
      </c>
      <c r="I32" s="361">
        <f>'AA Calculation'!S32</f>
        <v>27428282.745708186</v>
      </c>
      <c r="J32" s="361">
        <f>+J29+J27</f>
        <v>12965402.897585532</v>
      </c>
      <c r="K32" s="361">
        <f>+K29+K27</f>
        <v>31721461.49134203</v>
      </c>
      <c r="L32" s="361">
        <f>+L27+L29</f>
        <v>45000404.5121721</v>
      </c>
      <c r="M32" s="95">
        <f>+IF(OR(I32=0,H32="NA",I32="NA"),"NA",L32/I32)</f>
        <v>1.64065701558416</v>
      </c>
      <c r="N32" s="68">
        <f>+N27+N29</f>
        <v>1</v>
      </c>
      <c r="O32" s="95"/>
      <c r="P32" s="316">
        <v>4991257.3125807205</v>
      </c>
      <c r="Q32" s="332">
        <f>+Q27+Q29</f>
        <v>49991661.82475282</v>
      </c>
      <c r="R32" s="325"/>
      <c r="S32" s="362">
        <f>S27+S29</f>
        <v>0.9999999999999999</v>
      </c>
      <c r="T32" s="363">
        <f>(Q24/'Data Inputs - 2012'!N15)*('Data Inputs - 2012'!N15-'BA Calculation'!AA24)</f>
        <v>6388871.560867587</v>
      </c>
      <c r="U32" s="364">
        <f>U27+U29</f>
        <v>49991661.82475282</v>
      </c>
      <c r="V32" s="325"/>
      <c r="W32" s="365">
        <f>S32</f>
        <v>0.9999999999999999</v>
      </c>
      <c r="X32" s="325">
        <v>14510685</v>
      </c>
      <c r="Y32" s="359">
        <f>Y27+Y29</f>
        <v>35480976.82475282</v>
      </c>
      <c r="Z32" s="45"/>
      <c r="AA32" s="333">
        <f>+AA27+AA29</f>
        <v>9944990650.295</v>
      </c>
      <c r="AB32" s="317">
        <f>+ROUND(Y32/AA32*100,3)</f>
        <v>0.357</v>
      </c>
      <c r="AC32" s="373"/>
      <c r="AE32" s="308"/>
    </row>
    <row r="33" spans="1:29" ht="12.75">
      <c r="A33" s="344">
        <v>31</v>
      </c>
      <c r="B33" s="348"/>
      <c r="C33" s="45"/>
      <c r="D33" s="101"/>
      <c r="E33" s="45"/>
      <c r="F33" s="52"/>
      <c r="G33" s="45"/>
      <c r="H33" s="376"/>
      <c r="I33" s="377"/>
      <c r="J33" s="377"/>
      <c r="K33" s="377"/>
      <c r="L33" s="361"/>
      <c r="M33" s="95"/>
      <c r="N33" s="68"/>
      <c r="O33" s="95"/>
      <c r="P33" s="105"/>
      <c r="Q33" s="68"/>
      <c r="R33" s="95"/>
      <c r="S33" s="105"/>
      <c r="T33" s="95"/>
      <c r="U33" s="68"/>
      <c r="V33" s="95"/>
      <c r="W33" s="101"/>
      <c r="X33" s="358"/>
      <c r="Y33" s="359"/>
      <c r="Z33" s="45"/>
      <c r="AA33" s="333"/>
      <c r="AB33" s="52"/>
      <c r="AC33" s="373"/>
    </row>
    <row r="34" spans="1:29" ht="12.75">
      <c r="A34" s="344">
        <v>32</v>
      </c>
      <c r="B34" s="348"/>
      <c r="C34" s="45"/>
      <c r="D34" s="101"/>
      <c r="E34" s="45"/>
      <c r="F34" s="52"/>
      <c r="G34" s="45"/>
      <c r="H34" s="316"/>
      <c r="I34" s="325"/>
      <c r="J34" s="325"/>
      <c r="K34" s="325"/>
      <c r="L34" s="361"/>
      <c r="M34" s="95"/>
      <c r="N34" s="68"/>
      <c r="O34" s="95"/>
      <c r="P34" s="105"/>
      <c r="Q34" s="68"/>
      <c r="R34" s="95"/>
      <c r="S34" s="105"/>
      <c r="T34" s="95"/>
      <c r="U34" s="104"/>
      <c r="V34" s="95"/>
      <c r="W34" s="101"/>
      <c r="X34" s="358"/>
      <c r="Y34" s="359"/>
      <c r="Z34" s="45"/>
      <c r="AA34" s="333"/>
      <c r="AB34" s="52"/>
      <c r="AC34" s="373"/>
    </row>
    <row r="35" spans="1:29" ht="14.25">
      <c r="A35" s="344">
        <v>33</v>
      </c>
      <c r="B35" s="356" t="s">
        <v>33</v>
      </c>
      <c r="C35" s="45"/>
      <c r="D35" s="370">
        <f>D32</f>
        <v>12326628.313852314</v>
      </c>
      <c r="E35" s="371">
        <f>E32</f>
        <v>12640168.437096851</v>
      </c>
      <c r="F35" s="372">
        <f>F32</f>
        <v>313540.1232445354</v>
      </c>
      <c r="G35" s="45"/>
      <c r="H35" s="379">
        <f>+H32</f>
        <v>14462879.848122658</v>
      </c>
      <c r="I35" s="361">
        <f>I32</f>
        <v>27428282.745708186</v>
      </c>
      <c r="J35" s="361">
        <f>+J32</f>
        <v>12965402.897585532</v>
      </c>
      <c r="K35" s="361">
        <f>+K32</f>
        <v>31721461.49134203</v>
      </c>
      <c r="L35" s="361">
        <f>+L32</f>
        <v>45000404.5121721</v>
      </c>
      <c r="M35" s="95">
        <f>+IF(OR(I35=0,H35="NA",I35="NA"),"NA",L35/I35)</f>
        <v>1.64065701558416</v>
      </c>
      <c r="N35" s="68"/>
      <c r="O35" s="95"/>
      <c r="P35" s="105"/>
      <c r="Q35" s="68"/>
      <c r="R35" s="95"/>
      <c r="S35" s="105"/>
      <c r="T35" s="95"/>
      <c r="U35" s="68"/>
      <c r="V35" s="95"/>
      <c r="W35" s="101"/>
      <c r="X35" s="358"/>
      <c r="Y35" s="359"/>
      <c r="Z35" s="45"/>
      <c r="AA35" s="333"/>
      <c r="AB35" s="52"/>
      <c r="AC35" s="373"/>
    </row>
    <row r="36" spans="1:29" ht="12.75">
      <c r="A36" s="344">
        <v>34</v>
      </c>
      <c r="B36" s="356"/>
      <c r="C36" s="45"/>
      <c r="D36" s="380"/>
      <c r="E36" s="381"/>
      <c r="F36" s="382"/>
      <c r="G36" s="45"/>
      <c r="H36" s="380"/>
      <c r="I36" s="381"/>
      <c r="J36" s="381"/>
      <c r="K36" s="381"/>
      <c r="L36" s="100"/>
      <c r="M36" s="100"/>
      <c r="N36" s="54"/>
      <c r="O36" s="97"/>
      <c r="P36" s="106"/>
      <c r="Q36" s="54"/>
      <c r="R36" s="97"/>
      <c r="S36" s="106"/>
      <c r="T36" s="100"/>
      <c r="U36" s="54"/>
      <c r="V36" s="97"/>
      <c r="W36" s="380"/>
      <c r="X36" s="383"/>
      <c r="Y36" s="384"/>
      <c r="Z36" s="45"/>
      <c r="AA36" s="385"/>
      <c r="AB36" s="382"/>
      <c r="AC36" s="351"/>
    </row>
    <row r="37" spans="1:29" ht="13.5" thickBot="1">
      <c r="A37" s="344">
        <v>35</v>
      </c>
      <c r="B37" s="38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387"/>
      <c r="Y37" s="387"/>
      <c r="Z37" s="55"/>
      <c r="AA37" s="55"/>
      <c r="AB37" s="55"/>
      <c r="AC37" s="388"/>
    </row>
    <row r="38" spans="1:25" ht="13.5" thickTop="1">
      <c r="A38" s="344">
        <v>36</v>
      </c>
      <c r="B38" s="45"/>
      <c r="X38" s="308"/>
      <c r="Y38" s="308"/>
    </row>
    <row r="39" spans="1:25" ht="15">
      <c r="A39" s="306">
        <v>37</v>
      </c>
      <c r="B39" s="389" t="s">
        <v>334</v>
      </c>
      <c r="H39" s="390"/>
      <c r="I39" s="391"/>
      <c r="J39" s="391"/>
      <c r="K39" s="391"/>
      <c r="X39" s="308"/>
      <c r="Y39" s="309"/>
    </row>
    <row r="40" spans="2:25" ht="15">
      <c r="B40" s="389" t="s">
        <v>335</v>
      </c>
      <c r="I40" s="340"/>
      <c r="J40" s="340"/>
      <c r="K40" s="340"/>
      <c r="Y40" s="340"/>
    </row>
    <row r="41" spans="17:25" ht="12.75">
      <c r="Q41" s="308"/>
      <c r="Y41" s="340"/>
    </row>
    <row r="42" ht="12.75">
      <c r="P42" s="308"/>
    </row>
  </sheetData>
  <sheetProtection/>
  <mergeCells count="8">
    <mergeCell ref="B2:AB2"/>
    <mergeCell ref="B3:AB3"/>
    <mergeCell ref="AA10:AB10"/>
    <mergeCell ref="P10:Q10"/>
    <mergeCell ref="B4:AB4"/>
    <mergeCell ref="W10:Y10"/>
    <mergeCell ref="S10:U10"/>
    <mergeCell ref="D10:N10"/>
  </mergeCells>
  <conditionalFormatting sqref="M16:M36 AA18:AA34 AA13:AA15 AB13:AB34">
    <cfRule type="cellIs" priority="8" dxfId="0" operator="lessThan" stopIfTrue="1">
      <formula>0</formula>
    </cfRule>
  </conditionalFormatting>
  <conditionalFormatting sqref="AA16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17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44"/>
  <sheetViews>
    <sheetView view="pageBreakPreview" zoomScale="60" zoomScalePageLayoutView="0" workbookViewId="0" topLeftCell="A1">
      <pane xSplit="3" ySplit="11" topLeftCell="D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6.00390625" style="50" bestFit="1" customWidth="1"/>
    <col min="2" max="2" width="37.57421875" style="50" customWidth="1"/>
    <col min="3" max="3" width="1.8515625" style="50" customWidth="1"/>
    <col min="4" max="4" width="20.57421875" style="50" customWidth="1"/>
    <col min="5" max="5" width="18.140625" style="50" customWidth="1"/>
    <col min="6" max="6" width="16.140625" style="50" customWidth="1"/>
    <col min="7" max="7" width="9.140625" style="50" customWidth="1"/>
    <col min="8" max="8" width="14.140625" style="50" customWidth="1"/>
    <col min="9" max="9" width="1.8515625" style="50" customWidth="1"/>
    <col min="10" max="10" width="20.00390625" style="50" customWidth="1"/>
    <col min="11" max="11" width="19.00390625" style="50" customWidth="1"/>
    <col min="12" max="12" width="2.00390625" style="50" customWidth="1"/>
    <col min="13" max="13" width="18.00390625" style="50" customWidth="1"/>
    <col min="14" max="14" width="17.140625" style="50" customWidth="1"/>
    <col min="15" max="15" width="1.8515625" style="50" customWidth="1"/>
    <col min="16" max="16" width="15.8515625" style="50" customWidth="1"/>
    <col min="17" max="17" width="17.00390625" style="50" customWidth="1"/>
    <col min="18" max="18" width="16.57421875" style="50" customWidth="1"/>
    <col min="19" max="19" width="17.421875" style="50" bestFit="1" customWidth="1"/>
    <col min="20" max="20" width="1.28515625" style="50" customWidth="1"/>
    <col min="21" max="21" width="21.140625" style="50" customWidth="1"/>
    <col min="22" max="22" width="13.140625" style="50" customWidth="1"/>
    <col min="23" max="23" width="1.421875" style="50" customWidth="1"/>
    <col min="24" max="16384" width="9.140625" style="50" customWidth="1"/>
  </cols>
  <sheetData>
    <row r="1" ht="12.75">
      <c r="A1" s="344"/>
    </row>
    <row r="2" spans="1:22" ht="30" customHeight="1">
      <c r="A2" s="343" t="s">
        <v>24</v>
      </c>
      <c r="B2" s="499" t="s">
        <v>288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ht="12.75">
      <c r="A3" s="344">
        <f>ROW()</f>
        <v>3</v>
      </c>
    </row>
    <row r="4" spans="1:25" ht="20.25" customHeight="1">
      <c r="A4" s="344">
        <f>ROW()</f>
        <v>4</v>
      </c>
      <c r="B4" s="493" t="s">
        <v>290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395"/>
      <c r="X4" s="395"/>
      <c r="Y4" s="395"/>
    </row>
    <row r="5" spans="1:22" ht="15.75">
      <c r="A5" s="344">
        <f>ROW()</f>
        <v>5</v>
      </c>
      <c r="B5" s="303" t="s">
        <v>1</v>
      </c>
      <c r="D5" s="302" t="s">
        <v>3</v>
      </c>
      <c r="E5" s="302" t="s">
        <v>4</v>
      </c>
      <c r="F5" s="302" t="s">
        <v>5</v>
      </c>
      <c r="G5" s="302" t="s">
        <v>6</v>
      </c>
      <c r="H5" s="302" t="s">
        <v>21</v>
      </c>
      <c r="I5" s="302"/>
      <c r="J5" s="302" t="s">
        <v>22</v>
      </c>
      <c r="K5" s="302" t="s">
        <v>25</v>
      </c>
      <c r="L5" s="302"/>
      <c r="M5" s="302" t="s">
        <v>29</v>
      </c>
      <c r="N5" s="302" t="s">
        <v>77</v>
      </c>
      <c r="O5" s="302"/>
      <c r="P5" s="302" t="s">
        <v>41</v>
      </c>
      <c r="Q5" s="302" t="s">
        <v>171</v>
      </c>
      <c r="R5" s="302" t="s">
        <v>78</v>
      </c>
      <c r="S5" s="302" t="s">
        <v>79</v>
      </c>
      <c r="T5" s="302"/>
      <c r="U5" s="302" t="s">
        <v>169</v>
      </c>
      <c r="V5" s="302" t="s">
        <v>170</v>
      </c>
    </row>
    <row r="6" ht="12.75">
      <c r="A6" s="344">
        <f>ROW()</f>
        <v>6</v>
      </c>
    </row>
    <row r="7" spans="1:22" ht="23.25" customHeight="1">
      <c r="A7" s="344">
        <f>ROW()</f>
        <v>7</v>
      </c>
      <c r="B7" s="303" t="s">
        <v>7</v>
      </c>
      <c r="D7" s="303"/>
      <c r="E7" s="303"/>
      <c r="F7" s="303" t="s">
        <v>235</v>
      </c>
      <c r="G7" s="303" t="s">
        <v>327</v>
      </c>
      <c r="H7" s="303" t="s">
        <v>328</v>
      </c>
      <c r="I7" s="303"/>
      <c r="J7" s="303" t="s">
        <v>329</v>
      </c>
      <c r="K7" s="303" t="s">
        <v>236</v>
      </c>
      <c r="L7" s="303"/>
      <c r="M7" s="303" t="s">
        <v>330</v>
      </c>
      <c r="N7" s="303" t="s">
        <v>237</v>
      </c>
      <c r="O7" s="303"/>
      <c r="P7" s="303"/>
      <c r="Q7" s="303" t="s">
        <v>310</v>
      </c>
      <c r="R7" s="303" t="s">
        <v>311</v>
      </c>
      <c r="S7" s="303" t="s">
        <v>308</v>
      </c>
      <c r="T7" s="303"/>
      <c r="U7" s="303"/>
      <c r="V7" s="303" t="s">
        <v>309</v>
      </c>
    </row>
    <row r="8" spans="1:2" ht="13.5" thickBot="1">
      <c r="A8" s="344">
        <f>ROW()</f>
        <v>8</v>
      </c>
      <c r="B8" s="303"/>
    </row>
    <row r="9" spans="1:23" ht="13.5" thickTop="1">
      <c r="A9" s="344">
        <f>ROW()</f>
        <v>9</v>
      </c>
      <c r="B9" s="346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347"/>
    </row>
    <row r="10" spans="1:23" ht="78.75" customHeight="1">
      <c r="A10" s="344">
        <f>ROW()</f>
        <v>10</v>
      </c>
      <c r="B10" s="348"/>
      <c r="C10" s="45"/>
      <c r="D10" s="489" t="s">
        <v>200</v>
      </c>
      <c r="E10" s="498"/>
      <c r="F10" s="498"/>
      <c r="G10" s="498"/>
      <c r="H10" s="490"/>
      <c r="I10" s="349"/>
      <c r="J10" s="491" t="s">
        <v>208</v>
      </c>
      <c r="K10" s="492"/>
      <c r="L10" s="350"/>
      <c r="M10" s="489" t="s">
        <v>209</v>
      </c>
      <c r="N10" s="490"/>
      <c r="O10" s="45"/>
      <c r="P10" s="489" t="s">
        <v>293</v>
      </c>
      <c r="Q10" s="498"/>
      <c r="R10" s="498"/>
      <c r="S10" s="490"/>
      <c r="T10" s="396"/>
      <c r="U10" s="489" t="s">
        <v>204</v>
      </c>
      <c r="V10" s="490"/>
      <c r="W10" s="351"/>
    </row>
    <row r="11" spans="1:23" ht="51">
      <c r="A11" s="344">
        <f>ROW()</f>
        <v>11</v>
      </c>
      <c r="B11" s="348"/>
      <c r="C11" s="45"/>
      <c r="D11" s="110" t="s">
        <v>206</v>
      </c>
      <c r="E11" s="352" t="s">
        <v>198</v>
      </c>
      <c r="F11" s="352" t="s">
        <v>210</v>
      </c>
      <c r="G11" s="94" t="s">
        <v>175</v>
      </c>
      <c r="H11" s="99" t="s">
        <v>207</v>
      </c>
      <c r="I11" s="94"/>
      <c r="J11" s="110" t="s">
        <v>202</v>
      </c>
      <c r="K11" s="99" t="s">
        <v>203</v>
      </c>
      <c r="L11" s="94"/>
      <c r="M11" s="110" t="s">
        <v>201</v>
      </c>
      <c r="N11" s="99" t="s">
        <v>240</v>
      </c>
      <c r="O11" s="45"/>
      <c r="P11" s="110" t="s">
        <v>294</v>
      </c>
      <c r="Q11" s="352">
        <v>2012</v>
      </c>
      <c r="R11" s="352">
        <v>2013</v>
      </c>
      <c r="S11" s="99" t="s">
        <v>295</v>
      </c>
      <c r="T11" s="352"/>
      <c r="U11" s="110" t="s">
        <v>275</v>
      </c>
      <c r="V11" s="99" t="s">
        <v>205</v>
      </c>
      <c r="W11" s="351"/>
    </row>
    <row r="12" spans="1:23" ht="12.75">
      <c r="A12" s="344">
        <f>ROW()</f>
        <v>12</v>
      </c>
      <c r="B12" s="348"/>
      <c r="C12" s="45"/>
      <c r="D12" s="101"/>
      <c r="E12" s="45"/>
      <c r="F12" s="45"/>
      <c r="G12" s="45"/>
      <c r="H12" s="52"/>
      <c r="I12" s="45"/>
      <c r="J12" s="101"/>
      <c r="K12" s="52"/>
      <c r="L12" s="45"/>
      <c r="M12" s="101"/>
      <c r="N12" s="52"/>
      <c r="O12" s="45"/>
      <c r="P12" s="101"/>
      <c r="Q12" s="45"/>
      <c r="R12" s="45"/>
      <c r="S12" s="52"/>
      <c r="T12" s="45"/>
      <c r="U12" s="101"/>
      <c r="V12" s="52"/>
      <c r="W12" s="351"/>
    </row>
    <row r="13" spans="1:23" ht="18">
      <c r="A13" s="344">
        <f>ROW()</f>
        <v>13</v>
      </c>
      <c r="B13" s="353" t="s">
        <v>8</v>
      </c>
      <c r="C13" s="45"/>
      <c r="D13" s="101"/>
      <c r="E13" s="45"/>
      <c r="F13" s="45"/>
      <c r="G13" s="45"/>
      <c r="H13" s="52"/>
      <c r="I13" s="45"/>
      <c r="J13" s="101"/>
      <c r="K13" s="52"/>
      <c r="L13" s="45"/>
      <c r="M13" s="101"/>
      <c r="N13" s="52"/>
      <c r="O13" s="45"/>
      <c r="P13" s="101"/>
      <c r="Q13" s="45"/>
      <c r="R13" s="45"/>
      <c r="S13" s="52"/>
      <c r="T13" s="45"/>
      <c r="U13" s="101"/>
      <c r="V13" s="52"/>
      <c r="W13" s="351"/>
    </row>
    <row r="14" spans="1:23" ht="12.75">
      <c r="A14" s="344">
        <f>ROW()</f>
        <v>14</v>
      </c>
      <c r="B14" s="354"/>
      <c r="C14" s="45"/>
      <c r="D14" s="102"/>
      <c r="E14" s="46"/>
      <c r="F14" s="46"/>
      <c r="G14" s="46"/>
      <c r="H14" s="53"/>
      <c r="I14" s="46"/>
      <c r="J14" s="102"/>
      <c r="K14" s="52"/>
      <c r="L14" s="46"/>
      <c r="M14" s="102"/>
      <c r="N14" s="53"/>
      <c r="O14" s="45"/>
      <c r="P14" s="102"/>
      <c r="Q14" s="46"/>
      <c r="R14" s="46"/>
      <c r="S14" s="53"/>
      <c r="T14" s="46"/>
      <c r="U14" s="101"/>
      <c r="V14" s="52"/>
      <c r="W14" s="351"/>
    </row>
    <row r="15" spans="1:23" ht="12.75">
      <c r="A15" s="344">
        <f>ROW()</f>
        <v>15</v>
      </c>
      <c r="B15" s="355" t="s">
        <v>239</v>
      </c>
      <c r="C15" s="45"/>
      <c r="D15" s="102"/>
      <c r="E15" s="46"/>
      <c r="F15" s="46"/>
      <c r="G15" s="46"/>
      <c r="H15" s="53"/>
      <c r="I15" s="46"/>
      <c r="J15" s="102"/>
      <c r="K15" s="52"/>
      <c r="L15" s="46"/>
      <c r="M15" s="102"/>
      <c r="N15" s="53"/>
      <c r="O15" s="45"/>
      <c r="P15" s="102"/>
      <c r="Q15" s="46"/>
      <c r="R15" s="46"/>
      <c r="S15" s="53"/>
      <c r="T15" s="46"/>
      <c r="U15" s="101"/>
      <c r="V15" s="52"/>
      <c r="W15" s="351"/>
    </row>
    <row r="16" spans="1:23" ht="12.75">
      <c r="A16" s="344">
        <f>ROW()</f>
        <v>16</v>
      </c>
      <c r="B16" s="356" t="s">
        <v>266</v>
      </c>
      <c r="C16" s="45"/>
      <c r="D16" s="360">
        <f>'Fuels Costs before Interest'!AA18</f>
        <v>228342845.8417923</v>
      </c>
      <c r="E16" s="361">
        <f>+'Data Inputs - 2010'!O63</f>
        <v>196537143.9182626</v>
      </c>
      <c r="F16" s="397">
        <f>D16-E16</f>
        <v>31805701.923529685</v>
      </c>
      <c r="G16" s="95">
        <f>+IF(OR(E16=0,D16="NA",E16="NA"),"NA",F16/E16)</f>
        <v>0.1618304880667101</v>
      </c>
      <c r="H16" s="68">
        <f>+F16/F$32</f>
        <v>0.3955725589815724</v>
      </c>
      <c r="I16" s="95"/>
      <c r="J16" s="316">
        <f>+H16*J$32</f>
        <v>1431596.4740097006</v>
      </c>
      <c r="K16" s="332">
        <f>+F16+J16</f>
        <v>33237298.397539385</v>
      </c>
      <c r="L16" s="325"/>
      <c r="M16" s="463">
        <f>+H16*M$32</f>
        <v>-1473856.242073564</v>
      </c>
      <c r="N16" s="104">
        <f>+K16+M16</f>
        <v>31763442.15546582</v>
      </c>
      <c r="O16" s="45"/>
      <c r="P16" s="398">
        <v>19699915.73261708</v>
      </c>
      <c r="Q16" s="397">
        <f>P16*3/5</f>
        <v>11819949.439570248</v>
      </c>
      <c r="R16" s="397">
        <f>P16*2/5</f>
        <v>7879966.293046832</v>
      </c>
      <c r="S16" s="104">
        <f>+N16-P16</f>
        <v>12063526.422848739</v>
      </c>
      <c r="T16" s="98"/>
      <c r="U16" s="399">
        <f>+'Data Inputs - 2011'!O8</f>
        <v>4311747041.987582</v>
      </c>
      <c r="V16" s="317">
        <f>+ROUND(S16/U16*100,3)</f>
        <v>0.28</v>
      </c>
      <c r="W16" s="334"/>
    </row>
    <row r="17" spans="1:23" ht="12.75">
      <c r="A17" s="344">
        <f>ROW()</f>
        <v>17</v>
      </c>
      <c r="B17" s="356"/>
      <c r="C17" s="45"/>
      <c r="D17" s="360"/>
      <c r="E17" s="361"/>
      <c r="F17" s="397"/>
      <c r="G17" s="95"/>
      <c r="H17" s="68"/>
      <c r="I17" s="95"/>
      <c r="J17" s="316"/>
      <c r="K17" s="332"/>
      <c r="L17" s="325"/>
      <c r="M17" s="398"/>
      <c r="N17" s="104"/>
      <c r="O17" s="45"/>
      <c r="P17" s="398"/>
      <c r="Q17" s="397"/>
      <c r="R17" s="397"/>
      <c r="S17" s="104"/>
      <c r="T17" s="98"/>
      <c r="U17" s="399"/>
      <c r="V17" s="52"/>
      <c r="W17" s="334"/>
    </row>
    <row r="18" spans="1:23" ht="12.75">
      <c r="A18" s="344">
        <f>ROW()</f>
        <v>18</v>
      </c>
      <c r="B18" s="356" t="s">
        <v>13</v>
      </c>
      <c r="C18" s="45"/>
      <c r="D18" s="360">
        <f>'Fuels Costs before Interest'!AA20</f>
        <v>13069860.009657076</v>
      </c>
      <c r="E18" s="361">
        <f>+'Data Inputs - 2010'!O64</f>
        <v>11317775.168898435</v>
      </c>
      <c r="F18" s="397">
        <f aca="true" t="shared" si="0" ref="F18:F26">D18-E18</f>
        <v>1752084.8407586403</v>
      </c>
      <c r="G18" s="95">
        <f aca="true" t="shared" si="1" ref="G18:G27">+IF(OR(E18=0,D18="NA",E18="NA"),"NA",F18/E18)</f>
        <v>0.15480823877588756</v>
      </c>
      <c r="H18" s="68">
        <f aca="true" t="shared" si="2" ref="H18:H26">+F18/F$32</f>
        <v>0.021790957032738267</v>
      </c>
      <c r="I18" s="95"/>
      <c r="J18" s="316">
        <f aca="true" t="shared" si="3" ref="J18:J25">+H18*J$32</f>
        <v>78862.54125837439</v>
      </c>
      <c r="K18" s="332">
        <f aca="true" t="shared" si="4" ref="K18:K26">+F18+J18</f>
        <v>1830947.3820170148</v>
      </c>
      <c r="L18" s="325"/>
      <c r="M18" s="463">
        <f aca="true" t="shared" si="5" ref="M18:M26">+H18*M$32</f>
        <v>-81190.51060100018</v>
      </c>
      <c r="N18" s="104">
        <f aca="true" t="shared" si="6" ref="N18:N26">+K18+M18</f>
        <v>1749756.8714160146</v>
      </c>
      <c r="O18" s="45"/>
      <c r="P18" s="398">
        <v>1105201.6763192937</v>
      </c>
      <c r="Q18" s="397">
        <f aca="true" t="shared" si="7" ref="Q18:Q32">P18*3/5</f>
        <v>663121.0057915762</v>
      </c>
      <c r="R18" s="397">
        <f aca="true" t="shared" si="8" ref="R18:R32">P18*2/5</f>
        <v>442080.67052771745</v>
      </c>
      <c r="S18" s="104">
        <f aca="true" t="shared" si="9" ref="S18:S26">+N18-P18</f>
        <v>644555.1950967209</v>
      </c>
      <c r="T18" s="98"/>
      <c r="U18" s="399">
        <f>+'Data Inputs - 2011'!O9</f>
        <v>240604998.16039723</v>
      </c>
      <c r="V18" s="317">
        <f aca="true" t="shared" si="10" ref="V18:V26">+ROUND(S18/U18*100,3)</f>
        <v>0.268</v>
      </c>
      <c r="W18" s="334"/>
    </row>
    <row r="19" spans="1:23" ht="12.75">
      <c r="A19" s="344">
        <f>ROW()</f>
        <v>19</v>
      </c>
      <c r="B19" s="356" t="s">
        <v>14</v>
      </c>
      <c r="C19" s="45"/>
      <c r="D19" s="360">
        <f>'Fuels Costs before Interest'!AA21</f>
        <v>138034426.66674304</v>
      </c>
      <c r="E19" s="361">
        <f>+'Data Inputs - 2010'!O65</f>
        <v>119570405.65617648</v>
      </c>
      <c r="F19" s="397">
        <f t="shared" si="0"/>
        <v>18464021.010566562</v>
      </c>
      <c r="G19" s="95">
        <f t="shared" si="1"/>
        <v>0.15441965684769585</v>
      </c>
      <c r="H19" s="68">
        <f t="shared" si="2"/>
        <v>0.22963995757112904</v>
      </c>
      <c r="I19" s="95"/>
      <c r="J19" s="316">
        <f t="shared" si="3"/>
        <v>831078.258807837</v>
      </c>
      <c r="K19" s="332">
        <f t="shared" si="4"/>
        <v>19295099.2693744</v>
      </c>
      <c r="L19" s="325"/>
      <c r="M19" s="463">
        <f>+H19*M$32</f>
        <v>-855611.13179108</v>
      </c>
      <c r="N19" s="104">
        <f t="shared" si="6"/>
        <v>18439488.13758332</v>
      </c>
      <c r="O19" s="45"/>
      <c r="P19" s="398">
        <v>12287401.434700668</v>
      </c>
      <c r="Q19" s="397">
        <f t="shared" si="7"/>
        <v>7372440.8608204005</v>
      </c>
      <c r="R19" s="397">
        <f t="shared" si="8"/>
        <v>4914960.573880267</v>
      </c>
      <c r="S19" s="104">
        <f t="shared" si="9"/>
        <v>6152086.702882651</v>
      </c>
      <c r="T19" s="98"/>
      <c r="U19" s="399">
        <f>+'Data Inputs - 2011'!O10</f>
        <v>2461268950.7201157</v>
      </c>
      <c r="V19" s="317">
        <f t="shared" si="10"/>
        <v>0.25</v>
      </c>
      <c r="W19" s="334"/>
    </row>
    <row r="20" spans="1:23" ht="12.75">
      <c r="A20" s="344">
        <f>ROW()</f>
        <v>20</v>
      </c>
      <c r="B20" s="356" t="s">
        <v>15</v>
      </c>
      <c r="C20" s="45"/>
      <c r="D20" s="360">
        <f>'Fuels Costs before Interest'!AA22</f>
        <v>21350348.379594162</v>
      </c>
      <c r="E20" s="361">
        <f>+'Data Inputs - 2010'!O66</f>
        <v>18567220.14208</v>
      </c>
      <c r="F20" s="397">
        <f t="shared" si="0"/>
        <v>2783128.2375141606</v>
      </c>
      <c r="G20" s="95">
        <f t="shared" si="1"/>
        <v>0.14989471855329548</v>
      </c>
      <c r="H20" s="68">
        <f t="shared" si="2"/>
        <v>0.03461420727435317</v>
      </c>
      <c r="I20" s="95"/>
      <c r="J20" s="316">
        <f t="shared" si="3"/>
        <v>125270.51222204058</v>
      </c>
      <c r="K20" s="332">
        <f t="shared" si="4"/>
        <v>2908398.749736201</v>
      </c>
      <c r="L20" s="325"/>
      <c r="M20" s="463">
        <f t="shared" si="5"/>
        <v>-128968.41375215354</v>
      </c>
      <c r="N20" s="104">
        <f t="shared" si="6"/>
        <v>2779430.3359840475</v>
      </c>
      <c r="O20" s="45"/>
      <c r="P20" s="398">
        <v>1957738.771428723</v>
      </c>
      <c r="Q20" s="397">
        <f t="shared" si="7"/>
        <v>1174643.2628572336</v>
      </c>
      <c r="R20" s="397">
        <f t="shared" si="8"/>
        <v>783095.5085714891</v>
      </c>
      <c r="S20" s="104">
        <f t="shared" si="9"/>
        <v>821691.5645553246</v>
      </c>
      <c r="T20" s="98"/>
      <c r="U20" s="399">
        <f>+'Data Inputs - 2011'!O11</f>
        <v>415187344.9368364</v>
      </c>
      <c r="V20" s="317">
        <f t="shared" si="10"/>
        <v>0.198</v>
      </c>
      <c r="W20" s="334"/>
    </row>
    <row r="21" spans="1:23" ht="12.75">
      <c r="A21" s="344">
        <f>ROW()</f>
        <v>21</v>
      </c>
      <c r="B21" s="356" t="s">
        <v>16</v>
      </c>
      <c r="C21" s="45"/>
      <c r="D21" s="360">
        <f>'Fuels Costs before Interest'!AA23</f>
        <v>13550306.248385683</v>
      </c>
      <c r="E21" s="361">
        <f>+'Data Inputs - 2010'!O67</f>
        <v>11773174.03225546</v>
      </c>
      <c r="F21" s="397">
        <f t="shared" si="0"/>
        <v>1777132.2161302231</v>
      </c>
      <c r="G21" s="95">
        <f t="shared" si="1"/>
        <v>0.15094758739328404</v>
      </c>
      <c r="H21" s="68">
        <f t="shared" si="2"/>
        <v>0.02210247521257064</v>
      </c>
      <c r="I21" s="95"/>
      <c r="J21" s="316">
        <f t="shared" si="3"/>
        <v>79989.94081557856</v>
      </c>
      <c r="K21" s="332">
        <f t="shared" si="4"/>
        <v>1857122.1569458018</v>
      </c>
      <c r="L21" s="325"/>
      <c r="M21" s="463">
        <f t="shared" si="5"/>
        <v>-82351.19023724039</v>
      </c>
      <c r="N21" s="104">
        <f t="shared" si="6"/>
        <v>1774770.9667085614</v>
      </c>
      <c r="O21" s="45"/>
      <c r="P21" s="398">
        <v>1185863.4025521018</v>
      </c>
      <c r="Q21" s="397">
        <f t="shared" si="7"/>
        <v>711518.041531261</v>
      </c>
      <c r="R21" s="397">
        <f t="shared" si="8"/>
        <v>474345.3610208407</v>
      </c>
      <c r="S21" s="104">
        <f t="shared" si="9"/>
        <v>588907.5641564596</v>
      </c>
      <c r="T21" s="98"/>
      <c r="U21" s="399">
        <f>+'Data Inputs - 2011'!O12</f>
        <v>255790937.18444976</v>
      </c>
      <c r="V21" s="317">
        <f t="shared" si="10"/>
        <v>0.23</v>
      </c>
      <c r="W21" s="334"/>
    </row>
    <row r="22" spans="1:23" ht="12.75">
      <c r="A22" s="344">
        <f>ROW()</f>
        <v>22</v>
      </c>
      <c r="B22" s="356" t="s">
        <v>17</v>
      </c>
      <c r="C22" s="45"/>
      <c r="D22" s="360">
        <f>'Fuels Costs before Interest'!AA24</f>
        <v>25720088.702739935</v>
      </c>
      <c r="E22" s="361">
        <f>+'Data Inputs - 2010'!O68</f>
        <v>22372722.24307696</v>
      </c>
      <c r="F22" s="397">
        <f t="shared" si="0"/>
        <v>3347366.459662974</v>
      </c>
      <c r="G22" s="95">
        <f t="shared" si="1"/>
        <v>0.14961820127627903</v>
      </c>
      <c r="H22" s="68">
        <f t="shared" si="2"/>
        <v>0.041631727527396196</v>
      </c>
      <c r="I22" s="95"/>
      <c r="J22" s="316">
        <f t="shared" si="3"/>
        <v>150667.26187629567</v>
      </c>
      <c r="K22" s="332">
        <f t="shared" si="4"/>
        <v>3498033.7215392697</v>
      </c>
      <c r="L22" s="325"/>
      <c r="M22" s="463">
        <f t="shared" si="5"/>
        <v>-155114.85842832972</v>
      </c>
      <c r="N22" s="104">
        <f t="shared" si="6"/>
        <v>3342918.86311094</v>
      </c>
      <c r="O22" s="45"/>
      <c r="P22" s="398">
        <v>2286986.5375489667</v>
      </c>
      <c r="Q22" s="397">
        <f t="shared" si="7"/>
        <v>1372191.92252938</v>
      </c>
      <c r="R22" s="397">
        <f t="shared" si="8"/>
        <v>914794.6150195866</v>
      </c>
      <c r="S22" s="104">
        <f t="shared" si="9"/>
        <v>1055932.3255619733</v>
      </c>
      <c r="T22" s="98"/>
      <c r="U22" s="399">
        <f>+'Data Inputs - 2011'!O13</f>
        <v>490940739.6099757</v>
      </c>
      <c r="V22" s="317">
        <f t="shared" si="10"/>
        <v>0.215</v>
      </c>
      <c r="W22" s="334"/>
    </row>
    <row r="23" spans="1:26" ht="12.75">
      <c r="A23" s="344">
        <f>ROW()</f>
        <v>23</v>
      </c>
      <c r="B23" s="356" t="s">
        <v>18</v>
      </c>
      <c r="C23" s="45"/>
      <c r="D23" s="360">
        <f>'Fuels Costs before Interest'!AA25</f>
        <v>46140694.60204482</v>
      </c>
      <c r="E23" s="361">
        <f>+'Data Inputs - 2010'!O69</f>
        <v>40226580.561790004</v>
      </c>
      <c r="F23" s="397">
        <f t="shared" si="0"/>
        <v>5914114.040254816</v>
      </c>
      <c r="G23" s="95">
        <f>+IF(OR(E23=0,D23="NA",E23="NA"),"NA",F23/E23)</f>
        <v>0.14702005384649702</v>
      </c>
      <c r="H23" s="68">
        <f t="shared" si="2"/>
        <v>0.07355477425516974</v>
      </c>
      <c r="I23" s="95"/>
      <c r="J23" s="316">
        <f t="shared" si="3"/>
        <v>266198.3322133978</v>
      </c>
      <c r="K23" s="332">
        <f t="shared" si="4"/>
        <v>6180312.3724682145</v>
      </c>
      <c r="L23" s="325"/>
      <c r="M23" s="463">
        <f t="shared" si="5"/>
        <v>-274056.3285011486</v>
      </c>
      <c r="N23" s="104">
        <f t="shared" si="6"/>
        <v>5906256.043967066</v>
      </c>
      <c r="O23" s="45"/>
      <c r="P23" s="398">
        <v>4167568.078487925</v>
      </c>
      <c r="Q23" s="397">
        <f t="shared" si="7"/>
        <v>2500540.847092755</v>
      </c>
      <c r="R23" s="397">
        <f t="shared" si="8"/>
        <v>1667027.23139517</v>
      </c>
      <c r="S23" s="104">
        <f>+N23-P23</f>
        <v>1738687.965479141</v>
      </c>
      <c r="T23" s="98"/>
      <c r="U23" s="399">
        <f>+'Data Inputs - 2011'!O14</f>
        <v>926623571.0008214</v>
      </c>
      <c r="V23" s="317">
        <f t="shared" si="10"/>
        <v>0.188</v>
      </c>
      <c r="W23" s="334"/>
      <c r="Z23" s="113"/>
    </row>
    <row r="24" spans="1:26" ht="12.75">
      <c r="A24" s="344">
        <f>ROW()</f>
        <v>24</v>
      </c>
      <c r="B24" s="356" t="s">
        <v>42</v>
      </c>
      <c r="C24" s="45"/>
      <c r="D24" s="360">
        <f>'Fuels Costs before Interest'!AA26</f>
        <v>87800298.30199155</v>
      </c>
      <c r="E24" s="361">
        <f>+'Data Inputs - 2010'!O70</f>
        <v>76314718.22831999</v>
      </c>
      <c r="F24" s="397">
        <f t="shared" si="0"/>
        <v>11485580.073671564</v>
      </c>
      <c r="G24" s="95">
        <f t="shared" si="1"/>
        <v>0.15050281702290721</v>
      </c>
      <c r="H24" s="68">
        <f t="shared" si="2"/>
        <v>0.14284798090775194</v>
      </c>
      <c r="I24" s="95"/>
      <c r="J24" s="316">
        <f t="shared" si="3"/>
        <v>516973.8424562188</v>
      </c>
      <c r="K24" s="332">
        <f t="shared" si="4"/>
        <v>12002553.916127782</v>
      </c>
      <c r="L24" s="325"/>
      <c r="M24" s="463">
        <f t="shared" si="5"/>
        <v>-532234.5636677576</v>
      </c>
      <c r="N24" s="104">
        <f t="shared" si="6"/>
        <v>11470319.352460025</v>
      </c>
      <c r="O24" s="45"/>
      <c r="P24" s="398">
        <v>8070452.985604785</v>
      </c>
      <c r="Q24" s="397">
        <f t="shared" si="7"/>
        <v>4842271.791362871</v>
      </c>
      <c r="R24" s="397">
        <f t="shared" si="8"/>
        <v>3228181.194241914</v>
      </c>
      <c r="S24" s="104">
        <f t="shared" si="9"/>
        <v>3399866.3668552395</v>
      </c>
      <c r="T24" s="98"/>
      <c r="U24" s="399">
        <f>+'Data Inputs - 2011'!O15</f>
        <v>1514277604</v>
      </c>
      <c r="V24" s="317">
        <f t="shared" si="10"/>
        <v>0.225</v>
      </c>
      <c r="W24" s="334"/>
      <c r="Z24" s="113"/>
    </row>
    <row r="25" spans="1:26" ht="12.75">
      <c r="A25" s="344">
        <f>ROW()</f>
        <v>25</v>
      </c>
      <c r="B25" s="356" t="s">
        <v>19</v>
      </c>
      <c r="C25" s="45"/>
      <c r="D25" s="360">
        <f>'Fuels Costs before Interest'!AA27</f>
        <v>10014271.272949373</v>
      </c>
      <c r="E25" s="361">
        <f>+'Data Inputs - 2010'!O71</f>
        <v>8656219.607080001</v>
      </c>
      <c r="F25" s="397">
        <f t="shared" si="0"/>
        <v>1358051.665869372</v>
      </c>
      <c r="G25" s="95">
        <f t="shared" si="1"/>
        <v>0.1568873858928682</v>
      </c>
      <c r="H25" s="68">
        <f t="shared" si="2"/>
        <v>0.016890303945774933</v>
      </c>
      <c r="I25" s="95"/>
      <c r="J25" s="316">
        <f t="shared" si="3"/>
        <v>61126.83760465283</v>
      </c>
      <c r="K25" s="332">
        <f t="shared" si="4"/>
        <v>1419178.5034740248</v>
      </c>
      <c r="L25" s="325"/>
      <c r="M25" s="463">
        <f t="shared" si="5"/>
        <v>-62931.26086675745</v>
      </c>
      <c r="N25" s="104">
        <f t="shared" si="6"/>
        <v>1356247.2426072673</v>
      </c>
      <c r="O25" s="45"/>
      <c r="P25" s="398">
        <v>911120.6674842685</v>
      </c>
      <c r="Q25" s="397">
        <f t="shared" si="7"/>
        <v>546672.4004905612</v>
      </c>
      <c r="R25" s="397">
        <f t="shared" si="8"/>
        <v>364448.2669937074</v>
      </c>
      <c r="S25" s="104">
        <f t="shared" si="9"/>
        <v>445126.5751229988</v>
      </c>
      <c r="T25" s="98"/>
      <c r="U25" s="399">
        <f>+'Data Inputs - 2011'!O16</f>
        <v>193783569.32209796</v>
      </c>
      <c r="V25" s="317">
        <f t="shared" si="10"/>
        <v>0.23</v>
      </c>
      <c r="W25" s="334"/>
      <c r="Z25" s="113"/>
    </row>
    <row r="26" spans="1:26" ht="15">
      <c r="A26" s="344">
        <f>ROW()</f>
        <v>26</v>
      </c>
      <c r="B26" s="356" t="s">
        <v>265</v>
      </c>
      <c r="C26" s="45"/>
      <c r="D26" s="400">
        <f>'Fuels Costs before Interest'!AA28</f>
        <v>6178834.475368821</v>
      </c>
      <c r="E26" s="401">
        <f>+'Data Inputs - 2010'!O72</f>
        <v>5365982.367599043</v>
      </c>
      <c r="F26" s="402">
        <f t="shared" si="0"/>
        <v>812852.107769778</v>
      </c>
      <c r="G26" s="96">
        <f t="shared" si="1"/>
        <v>0.15148244106763264</v>
      </c>
      <c r="H26" s="68">
        <f t="shared" si="2"/>
        <v>0.010109570576909073</v>
      </c>
      <c r="I26" s="96"/>
      <c r="J26" s="316">
        <f>+H26*J$32</f>
        <v>36587.031286792204</v>
      </c>
      <c r="K26" s="332">
        <f t="shared" si="4"/>
        <v>849439.1390565702</v>
      </c>
      <c r="L26" s="325"/>
      <c r="M26" s="463">
        <f t="shared" si="5"/>
        <v>-37667.05591970749</v>
      </c>
      <c r="N26" s="104">
        <f t="shared" si="6"/>
        <v>811772.0831368627</v>
      </c>
      <c r="O26" s="45"/>
      <c r="P26" s="398">
        <v>558796.616180921</v>
      </c>
      <c r="Q26" s="397">
        <f t="shared" si="7"/>
        <v>335277.9697085526</v>
      </c>
      <c r="R26" s="397">
        <f t="shared" si="8"/>
        <v>223518.6464723684</v>
      </c>
      <c r="S26" s="104">
        <f t="shared" si="9"/>
        <v>252975.46695594175</v>
      </c>
      <c r="T26" s="98"/>
      <c r="U26" s="403">
        <f>+'Data Inputs - 2011'!O17</f>
        <v>113949870.2844692</v>
      </c>
      <c r="V26" s="317">
        <f t="shared" si="10"/>
        <v>0.222</v>
      </c>
      <c r="W26" s="369"/>
      <c r="Z26" s="113"/>
    </row>
    <row r="27" spans="1:26" ht="12.75">
      <c r="A27" s="344">
        <f>ROW()</f>
        <v>27</v>
      </c>
      <c r="B27" s="348" t="s">
        <v>238</v>
      </c>
      <c r="C27" s="45"/>
      <c r="D27" s="360">
        <f>'Fuels Costs before Interest'!AA29</f>
        <v>590201974.5012667</v>
      </c>
      <c r="E27" s="361">
        <f>SUM(E16:E26)</f>
        <v>510701941.925539</v>
      </c>
      <c r="F27" s="397">
        <f>SUM(F16:F26)</f>
        <v>79500032.57572776</v>
      </c>
      <c r="G27" s="95">
        <f t="shared" si="1"/>
        <v>0.1556681618949453</v>
      </c>
      <c r="H27" s="68">
        <f>SUM(H16:H26)</f>
        <v>0.9887545132853656</v>
      </c>
      <c r="I27" s="95"/>
      <c r="J27" s="316">
        <f>SUM(J16:J26)</f>
        <v>3578351.0325508886</v>
      </c>
      <c r="K27" s="332">
        <f>SUM(K16:K26)</f>
        <v>83078383.60827866</v>
      </c>
      <c r="L27" s="325"/>
      <c r="M27" s="463">
        <f>SUM(M16:M26)</f>
        <v>-3683981.5558387386</v>
      </c>
      <c r="N27" s="104">
        <f>SUM(N16:N26)</f>
        <v>79394402.05243991</v>
      </c>
      <c r="O27" s="45"/>
      <c r="P27" s="398">
        <f>SUM(P16:P26)</f>
        <v>52231045.90292473</v>
      </c>
      <c r="Q27" s="397">
        <f t="shared" si="7"/>
        <v>31338627.54175484</v>
      </c>
      <c r="R27" s="397">
        <f t="shared" si="8"/>
        <v>20892418.361169893</v>
      </c>
      <c r="S27" s="104">
        <f>SUM(S16:S26)</f>
        <v>27163356.149515186</v>
      </c>
      <c r="T27" s="98"/>
      <c r="U27" s="404">
        <f>SUM(U16:U26)</f>
        <v>10924174627.206747</v>
      </c>
      <c r="V27" s="317"/>
      <c r="W27" s="405"/>
      <c r="Z27" s="113"/>
    </row>
    <row r="28" spans="1:26" ht="12.75">
      <c r="A28" s="344">
        <f>ROW()</f>
        <v>28</v>
      </c>
      <c r="B28" s="356"/>
      <c r="C28" s="45"/>
      <c r="D28" s="360"/>
      <c r="E28" s="361"/>
      <c r="F28" s="397"/>
      <c r="G28" s="95"/>
      <c r="H28" s="68"/>
      <c r="I28" s="95"/>
      <c r="J28" s="316"/>
      <c r="K28" s="332"/>
      <c r="L28" s="325"/>
      <c r="M28" s="398"/>
      <c r="N28" s="104"/>
      <c r="O28" s="45"/>
      <c r="P28" s="398"/>
      <c r="Q28" s="397"/>
      <c r="R28" s="397"/>
      <c r="S28" s="104"/>
      <c r="T28" s="98"/>
      <c r="U28" s="399"/>
      <c r="V28" s="52"/>
      <c r="W28" s="405"/>
      <c r="Z28" s="113"/>
    </row>
    <row r="29" spans="1:26" ht="12.75">
      <c r="A29" s="344">
        <f>ROW()</f>
        <v>29</v>
      </c>
      <c r="B29" s="348" t="s">
        <v>263</v>
      </c>
      <c r="C29" s="45"/>
      <c r="D29" s="316">
        <f>'Fuels Costs before Interest'!AA34</f>
        <v>7002994.967230477</v>
      </c>
      <c r="E29" s="406">
        <f>+'Data Inputs - 2010'!O76+'Data Inputs - 2010'!O79</f>
        <v>6098810.41168</v>
      </c>
      <c r="F29" s="397">
        <f>D29-E29</f>
        <v>904184.5555504775</v>
      </c>
      <c r="G29" s="95">
        <f>+IF(OR(E29=0,D29="NA",E29="NA"),"NA",F29/E29)</f>
        <v>0.14825588836453232</v>
      </c>
      <c r="H29" s="68">
        <f>+F29/F$32</f>
        <v>0.01124548671463576</v>
      </c>
      <c r="I29" s="95"/>
      <c r="J29" s="316">
        <f>+H29*J$32</f>
        <v>40697.96744911583</v>
      </c>
      <c r="K29" s="332">
        <f>+F29+J29</f>
        <v>944882.5229995933</v>
      </c>
      <c r="L29" s="325"/>
      <c r="M29" s="463">
        <f>+H29*M$32</f>
        <v>-41899.34416126512</v>
      </c>
      <c r="N29" s="104">
        <f>+K29+M29</f>
        <v>902983.1788383282</v>
      </c>
      <c r="O29" s="45"/>
      <c r="P29" s="398">
        <v>638056.5826453269</v>
      </c>
      <c r="Q29" s="397">
        <f t="shared" si="7"/>
        <v>382833.9495871961</v>
      </c>
      <c r="R29" s="397">
        <f t="shared" si="8"/>
        <v>255222.63305813074</v>
      </c>
      <c r="S29" s="104">
        <f>+N29-P29</f>
        <v>264926.5961930014</v>
      </c>
      <c r="T29" s="98"/>
      <c r="U29" s="399">
        <f>+'Data Inputs - 2011'!O21</f>
        <v>178878000</v>
      </c>
      <c r="V29" s="317">
        <f>+ROUND(S29/U29*100,3)</f>
        <v>0.148</v>
      </c>
      <c r="W29" s="405"/>
      <c r="Z29" s="113"/>
    </row>
    <row r="30" spans="1:26" ht="12.75">
      <c r="A30" s="344">
        <f>ROW()</f>
        <v>30</v>
      </c>
      <c r="B30" s="356"/>
      <c r="C30" s="45"/>
      <c r="D30" s="376"/>
      <c r="E30" s="377"/>
      <c r="F30" s="397"/>
      <c r="G30" s="95"/>
      <c r="H30" s="68"/>
      <c r="I30" s="95"/>
      <c r="J30" s="103"/>
      <c r="K30" s="104"/>
      <c r="L30" s="98"/>
      <c r="M30" s="463"/>
      <c r="N30" s="104"/>
      <c r="O30" s="45"/>
      <c r="P30" s="398"/>
      <c r="Q30" s="397"/>
      <c r="R30" s="397"/>
      <c r="S30" s="104"/>
      <c r="T30" s="98"/>
      <c r="U30" s="399"/>
      <c r="V30" s="52"/>
      <c r="W30" s="405"/>
      <c r="Z30" s="407"/>
    </row>
    <row r="31" spans="1:23" ht="12.75">
      <c r="A31" s="344">
        <f>ROW()</f>
        <v>31</v>
      </c>
      <c r="B31" s="356"/>
      <c r="C31" s="45"/>
      <c r="D31" s="376"/>
      <c r="E31" s="377"/>
      <c r="F31" s="397"/>
      <c r="G31" s="95"/>
      <c r="H31" s="68"/>
      <c r="I31" s="95"/>
      <c r="J31" s="105"/>
      <c r="K31" s="68"/>
      <c r="L31" s="95"/>
      <c r="M31" s="105"/>
      <c r="N31" s="104"/>
      <c r="O31" s="45"/>
      <c r="P31" s="105"/>
      <c r="Q31" s="397">
        <f t="shared" si="7"/>
        <v>0</v>
      </c>
      <c r="R31" s="397">
        <f t="shared" si="8"/>
        <v>0</v>
      </c>
      <c r="S31" s="104"/>
      <c r="T31" s="98"/>
      <c r="U31" s="399"/>
      <c r="V31" s="52"/>
      <c r="W31" s="405"/>
    </row>
    <row r="32" spans="1:23" ht="12.75">
      <c r="A32" s="344">
        <f>ROW()</f>
        <v>32</v>
      </c>
      <c r="B32" s="378" t="s">
        <v>44</v>
      </c>
      <c r="C32" s="45"/>
      <c r="D32" s="316">
        <f>'Fuels Costs before Interest'!AA39</f>
        <v>597204969.4684972</v>
      </c>
      <c r="E32" s="325">
        <f>+E27+E29</f>
        <v>516800752.337219</v>
      </c>
      <c r="F32" s="397">
        <f>D32-E32</f>
        <v>80404217.13127816</v>
      </c>
      <c r="G32" s="95">
        <f>+IF(OR(E32=0,D32="NA",E32="NA"),"NA",F32/E32)</f>
        <v>0.15558068901341962</v>
      </c>
      <c r="H32" s="68">
        <f>+H27+H29</f>
        <v>1.0000000000000013</v>
      </c>
      <c r="I32" s="95"/>
      <c r="J32" s="408">
        <v>3619049</v>
      </c>
      <c r="K32" s="332">
        <f>+K27+K29</f>
        <v>84023266.13127826</v>
      </c>
      <c r="L32" s="325"/>
      <c r="M32" s="463">
        <v>-3725880.9</v>
      </c>
      <c r="N32" s="104">
        <f>+N27+N29</f>
        <v>80297385.23127824</v>
      </c>
      <c r="O32" s="45"/>
      <c r="P32" s="316">
        <f>+P27+P29</f>
        <v>52869102.48557006</v>
      </c>
      <c r="Q32" s="397">
        <f t="shared" si="7"/>
        <v>31721461.49134203</v>
      </c>
      <c r="R32" s="397">
        <f t="shared" si="8"/>
        <v>21147640.994228024</v>
      </c>
      <c r="S32" s="104">
        <f>+S27+S29</f>
        <v>27428282.745708186</v>
      </c>
      <c r="T32" s="98"/>
      <c r="U32" s="399">
        <f>+U27+U29</f>
        <v>11103052627.206747</v>
      </c>
      <c r="V32" s="52"/>
      <c r="W32" s="405"/>
    </row>
    <row r="33" spans="1:23" ht="12.75">
      <c r="A33" s="344">
        <f>ROW()</f>
        <v>33</v>
      </c>
      <c r="B33" s="348"/>
      <c r="C33" s="45"/>
      <c r="D33" s="376"/>
      <c r="E33" s="377"/>
      <c r="F33" s="397"/>
      <c r="G33" s="95"/>
      <c r="H33" s="68"/>
      <c r="I33" s="95"/>
      <c r="J33" s="105"/>
      <c r="K33" s="68"/>
      <c r="L33" s="95"/>
      <c r="M33" s="105"/>
      <c r="N33" s="68"/>
      <c r="O33" s="45"/>
      <c r="P33" s="105"/>
      <c r="Q33" s="95"/>
      <c r="R33" s="95"/>
      <c r="S33" s="68"/>
      <c r="T33" s="95"/>
      <c r="U33" s="399"/>
      <c r="V33" s="52"/>
      <c r="W33" s="405"/>
    </row>
    <row r="34" spans="1:23" ht="12.75">
      <c r="A34" s="344">
        <f>ROW()</f>
        <v>34</v>
      </c>
      <c r="B34" s="348"/>
      <c r="C34" s="45"/>
      <c r="D34" s="316"/>
      <c r="E34" s="325"/>
      <c r="F34" s="397"/>
      <c r="G34" s="95"/>
      <c r="H34" s="68"/>
      <c r="I34" s="95"/>
      <c r="J34" s="105"/>
      <c r="K34" s="68"/>
      <c r="L34" s="95"/>
      <c r="M34" s="105"/>
      <c r="N34" s="68"/>
      <c r="O34" s="45"/>
      <c r="P34" s="103"/>
      <c r="Q34" s="98"/>
      <c r="R34" s="98"/>
      <c r="S34" s="68"/>
      <c r="T34" s="95"/>
      <c r="U34" s="399"/>
      <c r="V34" s="52"/>
      <c r="W34" s="405"/>
    </row>
    <row r="35" spans="1:23" ht="14.25">
      <c r="A35" s="344">
        <f>ROW()</f>
        <v>35</v>
      </c>
      <c r="B35" s="356" t="s">
        <v>33</v>
      </c>
      <c r="C35" s="45"/>
      <c r="D35" s="379">
        <f>+D32</f>
        <v>597204969.4684972</v>
      </c>
      <c r="E35" s="409">
        <f>+E32</f>
        <v>516800752.337219</v>
      </c>
      <c r="F35" s="397">
        <f>D35-E35</f>
        <v>80404217.13127816</v>
      </c>
      <c r="G35" s="95">
        <f>+IF(OR(E35=0,D35="NA",E35="NA"),"NA",F35/E35)</f>
        <v>0.15558068901341962</v>
      </c>
      <c r="H35" s="68"/>
      <c r="I35" s="95"/>
      <c r="J35" s="105"/>
      <c r="K35" s="68"/>
      <c r="L35" s="95"/>
      <c r="M35" s="105"/>
      <c r="N35" s="68"/>
      <c r="O35" s="45"/>
      <c r="P35" s="105"/>
      <c r="Q35" s="95"/>
      <c r="R35" s="95"/>
      <c r="S35" s="68"/>
      <c r="T35" s="95"/>
      <c r="U35" s="399"/>
      <c r="V35" s="52"/>
      <c r="W35" s="405"/>
    </row>
    <row r="36" spans="1:23" ht="12.75">
      <c r="A36" s="344">
        <f>ROW()</f>
        <v>36</v>
      </c>
      <c r="B36" s="356"/>
      <c r="C36" s="45"/>
      <c r="D36" s="380"/>
      <c r="E36" s="381"/>
      <c r="F36" s="100"/>
      <c r="G36" s="100"/>
      <c r="H36" s="54"/>
      <c r="I36" s="97"/>
      <c r="J36" s="106"/>
      <c r="K36" s="54"/>
      <c r="L36" s="97"/>
      <c r="M36" s="106"/>
      <c r="N36" s="54"/>
      <c r="O36" s="45"/>
      <c r="P36" s="106"/>
      <c r="Q36" s="100"/>
      <c r="R36" s="100"/>
      <c r="S36" s="54"/>
      <c r="T36" s="100"/>
      <c r="U36" s="410"/>
      <c r="V36" s="382"/>
      <c r="W36" s="351"/>
    </row>
    <row r="37" spans="1:23" ht="13.5" thickBot="1">
      <c r="A37" s="344">
        <f>ROW()</f>
        <v>37</v>
      </c>
      <c r="B37" s="38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388"/>
    </row>
    <row r="38" spans="1:2" ht="13.5" thickTop="1">
      <c r="A38" s="344">
        <f>ROW()</f>
        <v>38</v>
      </c>
      <c r="B38" s="45"/>
    </row>
    <row r="39" spans="1:13" ht="15">
      <c r="A39" s="344">
        <f>ROW()</f>
        <v>39</v>
      </c>
      <c r="B39" s="411" t="s">
        <v>276</v>
      </c>
      <c r="D39" s="390"/>
      <c r="E39" s="391"/>
      <c r="M39" s="308"/>
    </row>
    <row r="40" ht="12.75">
      <c r="E40" s="340"/>
    </row>
    <row r="41" spans="2:13" ht="12.75">
      <c r="B41" s="212"/>
      <c r="D41" s="309"/>
      <c r="E41" s="309"/>
      <c r="F41" s="392"/>
      <c r="G41" s="212"/>
      <c r="H41" s="212"/>
      <c r="I41" s="212"/>
      <c r="J41" s="212"/>
      <c r="K41" s="212"/>
      <c r="L41" s="212"/>
      <c r="M41" s="392"/>
    </row>
    <row r="42" spans="2:13" ht="12.75">
      <c r="B42" s="212"/>
      <c r="J42" s="392"/>
      <c r="M42" s="308"/>
    </row>
    <row r="44" spans="10:14" ht="12.75">
      <c r="J44" s="115"/>
      <c r="K44" s="394"/>
      <c r="N44" s="393"/>
    </row>
  </sheetData>
  <sheetProtection/>
  <mergeCells count="7">
    <mergeCell ref="U10:V10"/>
    <mergeCell ref="D10:H10"/>
    <mergeCell ref="J10:K10"/>
    <mergeCell ref="M10:N10"/>
    <mergeCell ref="P10:S10"/>
    <mergeCell ref="B2:V2"/>
    <mergeCell ref="B4:V4"/>
  </mergeCells>
  <conditionalFormatting sqref="G16:G36 U14:V34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17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H111"/>
  <sheetViews>
    <sheetView view="pageBreakPreview" zoomScale="60" zoomScalePageLayoutView="0" workbookViewId="0" topLeftCell="A1">
      <pane xSplit="2" ySplit="13" topLeftCell="G3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P45" sqref="P45"/>
    </sheetView>
  </sheetViews>
  <sheetFormatPr defaultColWidth="9.140625" defaultRowHeight="12.75"/>
  <cols>
    <col min="1" max="1" width="3.57421875" style="1" customWidth="1"/>
    <col min="2" max="2" width="33.8515625" style="264" customWidth="1"/>
    <col min="3" max="3" width="11.421875" style="0" customWidth="1"/>
    <col min="4" max="4" width="14.00390625" style="0" customWidth="1"/>
    <col min="5" max="5" width="11.57421875" style="0" customWidth="1"/>
    <col min="6" max="6" width="19.421875" style="0" customWidth="1"/>
    <col min="7" max="7" width="10.00390625" style="0" customWidth="1"/>
    <col min="8" max="8" width="19.140625" style="50" customWidth="1"/>
    <col min="9" max="9" width="16.421875" style="0" customWidth="1"/>
    <col min="10" max="10" width="15.00390625" style="0" bestFit="1" customWidth="1"/>
    <col min="11" max="11" width="15.7109375" style="0" customWidth="1"/>
    <col min="12" max="12" width="15.00390625" style="0" bestFit="1" customWidth="1"/>
    <col min="13" max="13" width="16.28125" style="0" customWidth="1"/>
    <col min="14" max="14" width="16.421875" style="0" customWidth="1"/>
    <col min="15" max="15" width="15.140625" style="0" bestFit="1" customWidth="1"/>
    <col min="16" max="16" width="15.140625" style="0" customWidth="1"/>
    <col min="17" max="17" width="13.8515625" style="0" customWidth="1"/>
    <col min="18" max="18" width="14.57421875" style="0" customWidth="1"/>
    <col min="19" max="19" width="15.421875" style="0" customWidth="1"/>
    <col min="20" max="20" width="17.8515625" style="0" customWidth="1"/>
    <col min="21" max="21" width="13.421875" style="0" customWidth="1"/>
    <col min="22" max="22" width="16.7109375" style="0" customWidth="1"/>
    <col min="23" max="23" width="14.57421875" style="0" customWidth="1"/>
    <col min="24" max="24" width="18.421875" style="0" customWidth="1"/>
    <col min="25" max="25" width="11.421875" style="0" customWidth="1"/>
    <col min="26" max="26" width="9.7109375" style="0" customWidth="1"/>
    <col min="27" max="27" width="17.28125" style="0" customWidth="1"/>
    <col min="28" max="28" width="10.140625" style="0" customWidth="1"/>
    <col min="29" max="29" width="1.57421875" style="0" hidden="1" customWidth="1"/>
    <col min="30" max="30" width="2.140625" style="0" customWidth="1"/>
    <col min="31" max="31" width="8.7109375" style="0" customWidth="1"/>
    <col min="32" max="32" width="1.7109375" style="0" customWidth="1"/>
    <col min="33" max="33" width="20.00390625" style="0" bestFit="1" customWidth="1"/>
    <col min="34" max="34" width="19.00390625" style="0" bestFit="1" customWidth="1"/>
    <col min="35" max="35" width="17.8515625" style="0" customWidth="1"/>
    <col min="36" max="36" width="8.28125" style="50" customWidth="1"/>
  </cols>
  <sheetData>
    <row r="1" spans="1:31" ht="12.75">
      <c r="A1" s="117"/>
      <c r="B1" s="441"/>
      <c r="C1" s="90"/>
      <c r="D1" s="90"/>
      <c r="E1" s="90"/>
      <c r="F1" s="90"/>
      <c r="G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60">
      <c r="A2" s="118" t="s">
        <v>24</v>
      </c>
      <c r="B2" s="442"/>
      <c r="C2" s="525" t="s">
        <v>282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315"/>
      <c r="AD2" s="90"/>
      <c r="AE2" s="90"/>
    </row>
    <row r="3" spans="1:34" ht="20.25" customHeight="1">
      <c r="A3" s="117">
        <v>1</v>
      </c>
      <c r="B3" s="44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H3" s="56"/>
    </row>
    <row r="4" spans="1:31" ht="20.25" customHeight="1">
      <c r="A4" s="117">
        <f>+A3+1</f>
        <v>2</v>
      </c>
      <c r="B4" s="314"/>
      <c r="C4" s="527" t="s">
        <v>280</v>
      </c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314"/>
      <c r="AD4" s="90"/>
      <c r="AE4" s="90"/>
    </row>
    <row r="5" spans="1:31" ht="15.75">
      <c r="A5" s="117">
        <f>+A4+1</f>
        <v>3</v>
      </c>
      <c r="B5" s="120" t="s">
        <v>1</v>
      </c>
      <c r="C5" s="186" t="s">
        <v>2</v>
      </c>
      <c r="D5" s="186" t="s">
        <v>3</v>
      </c>
      <c r="E5" s="186" t="s">
        <v>4</v>
      </c>
      <c r="F5" s="186" t="s">
        <v>5</v>
      </c>
      <c r="G5" s="186" t="s">
        <v>6</v>
      </c>
      <c r="H5" s="302" t="s">
        <v>21</v>
      </c>
      <c r="I5" s="186" t="s">
        <v>20</v>
      </c>
      <c r="J5" s="186" t="s">
        <v>22</v>
      </c>
      <c r="K5" s="186" t="s">
        <v>25</v>
      </c>
      <c r="L5" s="186" t="s">
        <v>28</v>
      </c>
      <c r="M5" s="186" t="s">
        <v>29</v>
      </c>
      <c r="N5" s="186" t="s">
        <v>77</v>
      </c>
      <c r="O5" s="186" t="s">
        <v>36</v>
      </c>
      <c r="P5" s="186" t="s">
        <v>41</v>
      </c>
      <c r="Q5" s="186" t="s">
        <v>171</v>
      </c>
      <c r="R5" s="186" t="s">
        <v>78</v>
      </c>
      <c r="S5" s="186" t="s">
        <v>79</v>
      </c>
      <c r="T5" s="186" t="s">
        <v>80</v>
      </c>
      <c r="U5" s="186" t="s">
        <v>169</v>
      </c>
      <c r="V5" s="186" t="s">
        <v>170</v>
      </c>
      <c r="W5" s="186" t="s">
        <v>172</v>
      </c>
      <c r="X5" s="186" t="s">
        <v>174</v>
      </c>
      <c r="Y5" s="186" t="s">
        <v>176</v>
      </c>
      <c r="Z5" s="186" t="s">
        <v>173</v>
      </c>
      <c r="AA5" s="186" t="s">
        <v>230</v>
      </c>
      <c r="AB5" s="186" t="s">
        <v>231</v>
      </c>
      <c r="AC5" s="90"/>
      <c r="AD5" s="90"/>
      <c r="AE5" s="90"/>
    </row>
    <row r="6" spans="1:34" ht="12.75">
      <c r="A6" s="117">
        <f>+A5+1</f>
        <v>4</v>
      </c>
      <c r="B6" s="441"/>
      <c r="C6" s="90"/>
      <c r="D6" s="90"/>
      <c r="E6" s="90"/>
      <c r="F6" s="90"/>
      <c r="G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H6" s="58"/>
    </row>
    <row r="7" spans="1:31" ht="40.5" customHeight="1">
      <c r="A7" s="117">
        <f>+A6+1</f>
        <v>5</v>
      </c>
      <c r="B7" s="120" t="s">
        <v>7</v>
      </c>
      <c r="C7" s="119"/>
      <c r="D7" s="119"/>
      <c r="E7" s="120" t="s">
        <v>350</v>
      </c>
      <c r="F7" s="119"/>
      <c r="G7" s="120" t="s">
        <v>331</v>
      </c>
      <c r="H7" s="303"/>
      <c r="I7" s="119"/>
      <c r="J7" s="120" t="s">
        <v>341</v>
      </c>
      <c r="K7" s="120" t="s">
        <v>342</v>
      </c>
      <c r="L7" s="120" t="s">
        <v>343</v>
      </c>
      <c r="M7" s="119" t="s">
        <v>177</v>
      </c>
      <c r="N7" s="119" t="s">
        <v>178</v>
      </c>
      <c r="O7" s="120" t="s">
        <v>344</v>
      </c>
      <c r="P7" s="120" t="s">
        <v>345</v>
      </c>
      <c r="Q7" s="120" t="s">
        <v>346</v>
      </c>
      <c r="R7" s="119" t="s">
        <v>179</v>
      </c>
      <c r="S7" s="119" t="s">
        <v>180</v>
      </c>
      <c r="T7" s="119" t="s">
        <v>181</v>
      </c>
      <c r="U7" s="120" t="s">
        <v>347</v>
      </c>
      <c r="V7" s="120" t="s">
        <v>348</v>
      </c>
      <c r="W7" s="120" t="s">
        <v>349</v>
      </c>
      <c r="X7" s="119" t="s">
        <v>232</v>
      </c>
      <c r="Y7" s="119" t="s">
        <v>233</v>
      </c>
      <c r="Z7" s="120" t="str">
        <f>"Y / Y (line "&amp;A29&amp;")"</f>
        <v>Y / Y (line 29)</v>
      </c>
      <c r="AA7" s="120" t="str">
        <f>"Z x X                       (line "&amp;A29&amp;")"</f>
        <v>Z x X                       (line 29)</v>
      </c>
      <c r="AB7" s="119" t="s">
        <v>234</v>
      </c>
      <c r="AC7" s="90"/>
      <c r="AD7" s="90"/>
      <c r="AE7" s="90"/>
    </row>
    <row r="8" spans="1:31" ht="6" customHeight="1" thickBot="1">
      <c r="A8" s="117">
        <f>+A7+1</f>
        <v>6</v>
      </c>
      <c r="B8" s="120"/>
      <c r="C8" s="119"/>
      <c r="D8" s="119"/>
      <c r="E8" s="119"/>
      <c r="F8" s="119"/>
      <c r="G8" s="119"/>
      <c r="H8" s="303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90"/>
      <c r="AD8" s="90"/>
      <c r="AE8" s="90"/>
    </row>
    <row r="9" spans="1:31" ht="13.5" thickTop="1">
      <c r="A9" s="117">
        <f>ROW()</f>
        <v>9</v>
      </c>
      <c r="B9" s="443"/>
      <c r="C9" s="121"/>
      <c r="D9" s="121"/>
      <c r="E9" s="121"/>
      <c r="F9" s="121"/>
      <c r="G9" s="121"/>
      <c r="H9" s="5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D9" s="123"/>
      <c r="AE9" s="123"/>
    </row>
    <row r="10" spans="1:31" ht="54" customHeight="1">
      <c r="A10" s="117">
        <f>ROW()</f>
        <v>10</v>
      </c>
      <c r="B10" s="444"/>
      <c r="C10" s="500" t="s">
        <v>48</v>
      </c>
      <c r="D10" s="501"/>
      <c r="E10" s="501"/>
      <c r="F10" s="501"/>
      <c r="G10" s="501"/>
      <c r="H10" s="502"/>
      <c r="I10" s="503" t="s">
        <v>39</v>
      </c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5"/>
      <c r="Y10" s="529" t="s">
        <v>37</v>
      </c>
      <c r="Z10" s="530"/>
      <c r="AA10" s="530"/>
      <c r="AB10" s="531"/>
      <c r="AC10" s="124"/>
      <c r="AD10" s="123"/>
      <c r="AE10" s="123"/>
    </row>
    <row r="11" spans="1:31" ht="30" customHeight="1">
      <c r="A11" s="117">
        <f>ROW()</f>
        <v>11</v>
      </c>
      <c r="B11" s="444"/>
      <c r="C11" s="509" t="s">
        <v>332</v>
      </c>
      <c r="D11" s="508" t="s">
        <v>86</v>
      </c>
      <c r="E11" s="506"/>
      <c r="F11" s="508" t="s">
        <v>87</v>
      </c>
      <c r="G11" s="506"/>
      <c r="H11" s="522" t="s">
        <v>9</v>
      </c>
      <c r="I11" s="508" t="s">
        <v>47</v>
      </c>
      <c r="J11" s="518" t="s">
        <v>142</v>
      </c>
      <c r="K11" s="514"/>
      <c r="L11" s="514"/>
      <c r="M11" s="514"/>
      <c r="N11" s="519"/>
      <c r="O11" s="518" t="s">
        <v>143</v>
      </c>
      <c r="P11" s="514"/>
      <c r="Q11" s="514"/>
      <c r="R11" s="514"/>
      <c r="S11" s="519"/>
      <c r="T11" s="539" t="s">
        <v>226</v>
      </c>
      <c r="U11" s="539" t="s">
        <v>31</v>
      </c>
      <c r="V11" s="81"/>
      <c r="W11" s="81"/>
      <c r="X11" s="506" t="s">
        <v>227</v>
      </c>
      <c r="Y11" s="536" t="s">
        <v>38</v>
      </c>
      <c r="Z11" s="532" t="s">
        <v>27</v>
      </c>
      <c r="AA11" s="532" t="s">
        <v>40</v>
      </c>
      <c r="AB11" s="515" t="s">
        <v>10</v>
      </c>
      <c r="AC11" s="124"/>
      <c r="AD11" s="123"/>
      <c r="AE11" s="123"/>
    </row>
    <row r="12" spans="1:31" ht="18" customHeight="1">
      <c r="A12" s="117">
        <f>ROW()</f>
        <v>12</v>
      </c>
      <c r="B12" s="444"/>
      <c r="C12" s="520"/>
      <c r="D12" s="509" t="s">
        <v>84</v>
      </c>
      <c r="E12" s="509" t="s">
        <v>85</v>
      </c>
      <c r="F12" s="509" t="s">
        <v>88</v>
      </c>
      <c r="G12" s="509" t="s">
        <v>85</v>
      </c>
      <c r="H12" s="523"/>
      <c r="I12" s="511"/>
      <c r="J12" s="508" t="s">
        <v>45</v>
      </c>
      <c r="K12" s="514" t="s">
        <v>81</v>
      </c>
      <c r="L12" s="514"/>
      <c r="M12" s="514"/>
      <c r="N12" s="506" t="s">
        <v>46</v>
      </c>
      <c r="O12" s="508" t="s">
        <v>45</v>
      </c>
      <c r="P12" s="514" t="s">
        <v>81</v>
      </c>
      <c r="Q12" s="514"/>
      <c r="R12" s="514"/>
      <c r="S12" s="506" t="s">
        <v>46</v>
      </c>
      <c r="T12" s="540"/>
      <c r="U12" s="540"/>
      <c r="V12" s="82"/>
      <c r="W12" s="82"/>
      <c r="X12" s="535"/>
      <c r="Y12" s="537"/>
      <c r="Z12" s="533"/>
      <c r="AA12" s="533"/>
      <c r="AB12" s="516"/>
      <c r="AC12" s="124"/>
      <c r="AD12" s="123"/>
      <c r="AE12" s="123"/>
    </row>
    <row r="13" spans="1:31" ht="49.5" customHeight="1">
      <c r="A13" s="117">
        <f>ROW()</f>
        <v>13</v>
      </c>
      <c r="B13" s="445" t="s">
        <v>8</v>
      </c>
      <c r="C13" s="521"/>
      <c r="D13" s="510"/>
      <c r="E13" s="510" t="s">
        <v>85</v>
      </c>
      <c r="F13" s="510"/>
      <c r="G13" s="510" t="s">
        <v>85</v>
      </c>
      <c r="H13" s="524"/>
      <c r="I13" s="512"/>
      <c r="J13" s="513"/>
      <c r="K13" s="34" t="s">
        <v>82</v>
      </c>
      <c r="L13" s="35" t="s">
        <v>83</v>
      </c>
      <c r="M13" s="36" t="s">
        <v>49</v>
      </c>
      <c r="N13" s="507"/>
      <c r="O13" s="513"/>
      <c r="P13" s="34" t="s">
        <v>82</v>
      </c>
      <c r="Q13" s="35" t="s">
        <v>83</v>
      </c>
      <c r="R13" s="36" t="s">
        <v>49</v>
      </c>
      <c r="S13" s="507"/>
      <c r="T13" s="541"/>
      <c r="U13" s="541"/>
      <c r="V13" s="125" t="s">
        <v>225</v>
      </c>
      <c r="W13" s="125" t="s">
        <v>215</v>
      </c>
      <c r="X13" s="507"/>
      <c r="Y13" s="538"/>
      <c r="Z13" s="534"/>
      <c r="AA13" s="534"/>
      <c r="AB13" s="517"/>
      <c r="AC13" s="124"/>
      <c r="AD13" s="123"/>
      <c r="AE13" s="123"/>
    </row>
    <row r="14" spans="1:31" ht="12.75" customHeight="1">
      <c r="A14" s="117">
        <f>ROW()</f>
        <v>14</v>
      </c>
      <c r="B14" s="446"/>
      <c r="C14" s="126"/>
      <c r="D14" s="126"/>
      <c r="E14" s="126"/>
      <c r="F14" s="126"/>
      <c r="G14" s="126"/>
      <c r="H14" s="304"/>
      <c r="I14" s="3"/>
      <c r="J14" s="3"/>
      <c r="K14" s="3"/>
      <c r="L14" s="5"/>
      <c r="M14" s="4"/>
      <c r="N14" s="4"/>
      <c r="O14" s="3"/>
      <c r="P14" s="3"/>
      <c r="Q14" s="5"/>
      <c r="R14" s="4"/>
      <c r="S14" s="4"/>
      <c r="T14" s="5"/>
      <c r="U14" s="5"/>
      <c r="V14" s="5"/>
      <c r="W14" s="5"/>
      <c r="X14" s="4"/>
      <c r="Y14" s="5"/>
      <c r="Z14" s="5"/>
      <c r="AA14" s="5"/>
      <c r="AB14" s="4"/>
      <c r="AC14" s="124"/>
      <c r="AD14" s="123"/>
      <c r="AE14" s="123"/>
    </row>
    <row r="15" spans="1:31" ht="12.75">
      <c r="A15" s="117">
        <f>ROW()</f>
        <v>15</v>
      </c>
      <c r="B15" s="447" t="s">
        <v>241</v>
      </c>
      <c r="C15" s="126"/>
      <c r="D15" s="127"/>
      <c r="E15" s="127"/>
      <c r="F15" s="126"/>
      <c r="G15" s="126"/>
      <c r="H15" s="304"/>
      <c r="I15" s="3"/>
      <c r="J15" s="3"/>
      <c r="K15" s="3"/>
      <c r="L15" s="5"/>
      <c r="M15" s="4"/>
      <c r="N15" s="4"/>
      <c r="O15" s="3"/>
      <c r="P15" s="3"/>
      <c r="Q15" s="5"/>
      <c r="R15" s="4"/>
      <c r="S15" s="4"/>
      <c r="T15" s="5"/>
      <c r="U15" s="5"/>
      <c r="V15" s="5"/>
      <c r="W15" s="5"/>
      <c r="X15" s="4"/>
      <c r="Y15" s="5"/>
      <c r="Z15" s="5"/>
      <c r="AA15" s="5"/>
      <c r="AB15" s="4"/>
      <c r="AC15" s="124"/>
      <c r="AD15" s="123"/>
      <c r="AE15" s="123"/>
    </row>
    <row r="16" spans="1:31" ht="12.75">
      <c r="A16" s="117">
        <f>ROW()</f>
        <v>16</v>
      </c>
      <c r="B16" s="448" t="s">
        <v>11</v>
      </c>
      <c r="C16" s="128"/>
      <c r="D16" s="129"/>
      <c r="E16" s="129"/>
      <c r="F16" s="130"/>
      <c r="G16" s="130"/>
      <c r="H16" s="221">
        <f>+'Monthly Energy Allocators'!N5</f>
        <v>3976109751.755353</v>
      </c>
      <c r="I16" s="131"/>
      <c r="J16" s="131"/>
      <c r="K16" s="131"/>
      <c r="L16" s="132"/>
      <c r="M16" s="133"/>
      <c r="N16" s="133"/>
      <c r="O16" s="131"/>
      <c r="P16" s="131"/>
      <c r="Q16" s="132"/>
      <c r="R16" s="133"/>
      <c r="S16" s="133"/>
      <c r="T16" s="132"/>
      <c r="U16" s="132"/>
      <c r="V16" s="132"/>
      <c r="W16" s="132"/>
      <c r="X16" s="133"/>
      <c r="Y16" s="132"/>
      <c r="Z16" s="132"/>
      <c r="AA16" s="132"/>
      <c r="AB16" s="83"/>
      <c r="AC16" s="124"/>
      <c r="AD16" s="123"/>
      <c r="AE16" s="123"/>
    </row>
    <row r="17" spans="1:31" ht="15">
      <c r="A17" s="117">
        <f>ROW()</f>
        <v>17</v>
      </c>
      <c r="B17" s="448" t="s">
        <v>12</v>
      </c>
      <c r="C17" s="128"/>
      <c r="D17" s="129"/>
      <c r="E17" s="129"/>
      <c r="F17" s="134"/>
      <c r="G17" s="134"/>
      <c r="H17" s="228">
        <f>+'Monthly Energy Allocators'!N6</f>
        <v>171118437.97728726</v>
      </c>
      <c r="I17" s="7"/>
      <c r="J17" s="7"/>
      <c r="K17" s="7"/>
      <c r="L17" s="8"/>
      <c r="M17" s="9"/>
      <c r="N17" s="9"/>
      <c r="O17" s="7"/>
      <c r="P17" s="7"/>
      <c r="Q17" s="8"/>
      <c r="R17" s="9"/>
      <c r="S17" s="9"/>
      <c r="T17" s="8"/>
      <c r="U17" s="8"/>
      <c r="V17" s="8"/>
      <c r="W17" s="8"/>
      <c r="X17" s="9"/>
      <c r="Y17" s="8"/>
      <c r="Z17" s="8"/>
      <c r="AA17" s="8"/>
      <c r="AB17" s="84"/>
      <c r="AC17" s="124"/>
      <c r="AD17" s="123"/>
      <c r="AE17" s="123"/>
    </row>
    <row r="18" spans="1:31" ht="15">
      <c r="A18" s="117">
        <f>ROW()</f>
        <v>18</v>
      </c>
      <c r="B18" s="448" t="s">
        <v>264</v>
      </c>
      <c r="C18" s="135">
        <v>0.9890507030161523</v>
      </c>
      <c r="D18" s="136">
        <v>3200476</v>
      </c>
      <c r="E18" s="137">
        <f>+D18/D$29</f>
        <v>0.4903318639353728</v>
      </c>
      <c r="F18" s="130">
        <f>+'Monthly Energy Allocators'!N57</f>
        <v>4573501449.374976</v>
      </c>
      <c r="G18" s="137">
        <f>+F18/F$29</f>
        <v>0.3858917974696474</v>
      </c>
      <c r="H18" s="221">
        <f>+H16+H17</f>
        <v>4147228189.7326403</v>
      </c>
      <c r="I18" s="10">
        <f>+'Monthly Fuel Cost Allocation'!N99</f>
        <v>196768704.88355517</v>
      </c>
      <c r="J18" s="10">
        <f>+J$29*$G18</f>
        <v>10407736.106108598</v>
      </c>
      <c r="K18" s="10">
        <f>+$G18*K$29</f>
        <v>5715672.301355894</v>
      </c>
      <c r="L18" s="11">
        <f>+$E18*L$29</f>
        <v>3557488.7507271315</v>
      </c>
      <c r="M18" s="12">
        <f>+K18+L18</f>
        <v>9273161.052083025</v>
      </c>
      <c r="N18" s="12">
        <f>+J18+K18+L18</f>
        <v>19680897.158191625</v>
      </c>
      <c r="O18" s="10">
        <f>+O$29*$G18</f>
        <v>7383998.364681361</v>
      </c>
      <c r="P18" s="10">
        <f>+$G18*P$29</f>
        <v>2215199.5094044083</v>
      </c>
      <c r="Q18" s="11">
        <f>+$E18*Q$29</f>
        <v>1206314.7288850592</v>
      </c>
      <c r="R18" s="12">
        <f>+P18+Q18</f>
        <v>3421514.2382894675</v>
      </c>
      <c r="S18" s="12">
        <f>+O18+P18+Q18</f>
        <v>10805512.602970827</v>
      </c>
      <c r="T18" s="11">
        <f>+I18+N18+S18</f>
        <v>227255114.64471763</v>
      </c>
      <c r="U18" s="464">
        <f>+G18*U$29</f>
        <v>-187649.5338145528</v>
      </c>
      <c r="V18" s="464">
        <f>+G18*V$29</f>
        <v>-848961.9544332242</v>
      </c>
      <c r="W18" s="11">
        <f>+G18*W$29</f>
        <v>3606208.1911080116</v>
      </c>
      <c r="X18" s="12">
        <f>+T18+U18+V18+W18</f>
        <v>229824711.34757787</v>
      </c>
      <c r="Y18" s="11">
        <f>+X18*C18</f>
        <v>227308292.32880616</v>
      </c>
      <c r="Z18" s="16">
        <f>+Y18/Y$29</f>
        <v>0.3868893289195565</v>
      </c>
      <c r="AA18" s="11">
        <f>+Z18*X$29</f>
        <v>228342845.8417923</v>
      </c>
      <c r="AB18" s="85">
        <f>+AA18/H18*100</f>
        <v>5.505914683139556</v>
      </c>
      <c r="AC18" s="124"/>
      <c r="AD18" s="123"/>
      <c r="AE18" s="138"/>
    </row>
    <row r="19" spans="1:31" ht="15">
      <c r="A19" s="117">
        <f>ROW()</f>
        <v>19</v>
      </c>
      <c r="B19" s="448"/>
      <c r="C19" s="135"/>
      <c r="D19" s="136"/>
      <c r="E19" s="136"/>
      <c r="F19" s="130"/>
      <c r="G19" s="136"/>
      <c r="H19" s="221"/>
      <c r="I19" s="10"/>
      <c r="J19" s="10"/>
      <c r="K19" s="10"/>
      <c r="L19" s="11"/>
      <c r="M19" s="12"/>
      <c r="N19" s="12"/>
      <c r="O19" s="10"/>
      <c r="P19" s="10"/>
      <c r="Q19" s="11"/>
      <c r="R19" s="12"/>
      <c r="S19" s="12"/>
      <c r="T19" s="11"/>
      <c r="U19" s="464"/>
      <c r="V19" s="464"/>
      <c r="W19" s="11"/>
      <c r="X19" s="12"/>
      <c r="Y19" s="11"/>
      <c r="Z19" s="11"/>
      <c r="AA19" s="11"/>
      <c r="AB19" s="85"/>
      <c r="AC19" s="124"/>
      <c r="AD19" s="123"/>
      <c r="AE19" s="139"/>
    </row>
    <row r="20" spans="1:31" ht="15">
      <c r="A20" s="117">
        <f>ROW()</f>
        <v>20</v>
      </c>
      <c r="B20" s="448" t="s">
        <v>13</v>
      </c>
      <c r="C20" s="135">
        <v>1.0231849611395256</v>
      </c>
      <c r="D20" s="136">
        <v>179891</v>
      </c>
      <c r="E20" s="137">
        <f aca="true" t="shared" si="0" ref="E20:G28">+D20/D$29</f>
        <v>0.027560365812834765</v>
      </c>
      <c r="F20" s="130">
        <f>+'Monthly Energy Allocators'!N58</f>
        <v>254781435.2243492</v>
      </c>
      <c r="G20" s="137">
        <f t="shared" si="0"/>
        <v>0.021497329144622223</v>
      </c>
      <c r="H20" s="221">
        <f>+'Monthly Energy Allocators'!N8</f>
        <v>232159490.9398992</v>
      </c>
      <c r="I20" s="10">
        <f>+'Monthly Fuel Cost Allocation'!N100</f>
        <v>10871959.431100879</v>
      </c>
      <c r="J20" s="10">
        <f aca="true" t="shared" si="1" ref="J20:J27">+J$29*$G20</f>
        <v>579796.0210361396</v>
      </c>
      <c r="K20" s="10">
        <f aca="true" t="shared" si="2" ref="K20:K28">+$G20*K$29</f>
        <v>318409.69295210944</v>
      </c>
      <c r="L20" s="11">
        <f aca="true" t="shared" si="3" ref="L20:L28">+$E20*L$29</f>
        <v>199957.82154187516</v>
      </c>
      <c r="M20" s="12">
        <f aca="true" t="shared" si="4" ref="M20:M28">+K20+L20</f>
        <v>518367.51449398464</v>
      </c>
      <c r="N20" s="12">
        <f aca="true" t="shared" si="5" ref="N20:N28">+J20+K20+L20</f>
        <v>1098163.535530124</v>
      </c>
      <c r="O20" s="10">
        <f aca="true" t="shared" si="6" ref="O20:O28">+O$29*$G20</f>
        <v>411349.09912510635</v>
      </c>
      <c r="P20" s="10">
        <f aca="true" t="shared" si="7" ref="P20:P28">+$G20*P$29</f>
        <v>123404.72973753192</v>
      </c>
      <c r="Q20" s="11">
        <f aca="true" t="shared" si="8" ref="Q20:Q28">+$E20*Q$29</f>
        <v>67804.02755523309</v>
      </c>
      <c r="R20" s="12">
        <f aca="true" t="shared" si="9" ref="R20:R28">+P20+Q20</f>
        <v>191208.75729276502</v>
      </c>
      <c r="S20" s="12">
        <f aca="true" t="shared" si="10" ref="S20:S28">+O20+P20+Q20</f>
        <v>602557.8564178713</v>
      </c>
      <c r="T20" s="11">
        <f aca="true" t="shared" si="11" ref="T20:T28">+I20+N20+S20</f>
        <v>12572680.823048875</v>
      </c>
      <c r="U20" s="464">
        <f aca="true" t="shared" si="12" ref="U20:U28">+G20*U$29</f>
        <v>-10453.61372980117</v>
      </c>
      <c r="V20" s="464">
        <f aca="true" t="shared" si="13" ref="V20:V28">+G20*V$29</f>
        <v>-47294.12411816888</v>
      </c>
      <c r="W20" s="11">
        <f aca="true" t="shared" si="14" ref="W20:W28">+G20*W$29</f>
        <v>200895.2897071603</v>
      </c>
      <c r="X20" s="12">
        <f aca="true" t="shared" si="15" ref="X20:X28">+T20+U20+V20+W20</f>
        <v>12715828.374908064</v>
      </c>
      <c r="Y20" s="11">
        <f aca="true" t="shared" si="16" ref="Y20:Y28">+X20*C20</f>
        <v>13010644.361637184</v>
      </c>
      <c r="Z20" s="16">
        <f aca="true" t="shared" si="17" ref="Z20:Z28">+Y20/Y$29</f>
        <v>0.022144724305101463</v>
      </c>
      <c r="AA20" s="11">
        <f aca="true" t="shared" si="18" ref="AA20:AA27">+Z20*X$29</f>
        <v>13069860.009657076</v>
      </c>
      <c r="AB20" s="85">
        <f aca="true" t="shared" si="19" ref="AB20:AB29">+AA20/H20*100</f>
        <v>5.629690156858831</v>
      </c>
      <c r="AC20" s="124"/>
      <c r="AD20" s="123"/>
      <c r="AE20" s="138"/>
    </row>
    <row r="21" spans="1:31" ht="15">
      <c r="A21" s="117">
        <f>ROW()</f>
        <v>21</v>
      </c>
      <c r="B21" s="448" t="s">
        <v>14</v>
      </c>
      <c r="C21" s="135">
        <v>1.0716964160107805</v>
      </c>
      <c r="D21" s="136">
        <v>1290681</v>
      </c>
      <c r="E21" s="137">
        <f t="shared" si="0"/>
        <v>0.1977399675785636</v>
      </c>
      <c r="F21" s="130">
        <f>+'Monthly Energy Allocators'!N59</f>
        <v>2579774856.5424366</v>
      </c>
      <c r="G21" s="137">
        <f t="shared" si="0"/>
        <v>0.21766997725434448</v>
      </c>
      <c r="H21" s="221">
        <f>+'Monthly Energy Allocators'!N9</f>
        <v>2440212359.853332</v>
      </c>
      <c r="I21" s="10">
        <f>+'Monthly Fuel Cost Allocation'!N101</f>
        <v>110336460.31031996</v>
      </c>
      <c r="J21" s="10">
        <f t="shared" si="1"/>
        <v>5870691.464137869</v>
      </c>
      <c r="K21" s="10">
        <f t="shared" si="2"/>
        <v>3224039.1425456046</v>
      </c>
      <c r="L21" s="11">
        <f t="shared" si="3"/>
        <v>1434656.3255832086</v>
      </c>
      <c r="M21" s="12">
        <f t="shared" si="4"/>
        <v>4658695.468128813</v>
      </c>
      <c r="N21" s="12">
        <f t="shared" si="5"/>
        <v>10529386.932266682</v>
      </c>
      <c r="O21" s="10">
        <f t="shared" si="6"/>
        <v>4165091.78641645</v>
      </c>
      <c r="P21" s="10">
        <f t="shared" si="7"/>
        <v>1249527.535924935</v>
      </c>
      <c r="Q21" s="11">
        <f t="shared" si="8"/>
        <v>486479.9800379997</v>
      </c>
      <c r="R21" s="12">
        <f t="shared" si="9"/>
        <v>1736007.5159629346</v>
      </c>
      <c r="S21" s="12">
        <f t="shared" si="10"/>
        <v>5901099.302379385</v>
      </c>
      <c r="T21" s="11">
        <f t="shared" si="11"/>
        <v>126766946.54496603</v>
      </c>
      <c r="U21" s="464">
        <f t="shared" si="12"/>
        <v>-105847.46818935635</v>
      </c>
      <c r="V21" s="464">
        <f t="shared" si="13"/>
        <v>-478873.94995955774</v>
      </c>
      <c r="W21" s="11">
        <f t="shared" si="14"/>
        <v>2034153.7707721125</v>
      </c>
      <c r="X21" s="12">
        <f t="shared" si="15"/>
        <v>128216378.89758922</v>
      </c>
      <c r="Y21" s="11">
        <f t="shared" si="16"/>
        <v>137409033.73842663</v>
      </c>
      <c r="Z21" s="16">
        <f t="shared" si="17"/>
        <v>0.23387659247223816</v>
      </c>
      <c r="AA21" s="11">
        <f t="shared" si="18"/>
        <v>138034426.66674304</v>
      </c>
      <c r="AB21" s="85">
        <f t="shared" si="19"/>
        <v>5.65665631965898</v>
      </c>
      <c r="AC21" s="124"/>
      <c r="AD21" s="123"/>
      <c r="AE21" s="138"/>
    </row>
    <row r="22" spans="1:31" ht="15">
      <c r="A22" s="117">
        <f>ROW()</f>
        <v>22</v>
      </c>
      <c r="B22" s="448" t="s">
        <v>15</v>
      </c>
      <c r="C22" s="135">
        <v>0.9868926072234047</v>
      </c>
      <c r="D22" s="136">
        <v>177953</v>
      </c>
      <c r="E22" s="137">
        <f>+D22/D$29</f>
        <v>0.02726345274355796</v>
      </c>
      <c r="F22" s="130">
        <f>+'Monthly Energy Allocators'!N60</f>
        <v>435827190.2508334</v>
      </c>
      <c r="G22" s="137">
        <f t="shared" si="0"/>
        <v>0.03677316814997931</v>
      </c>
      <c r="H22" s="221">
        <f>+'Monthly Energy Allocators'!N10</f>
        <v>416118784</v>
      </c>
      <c r="I22" s="10">
        <f>+'Monthly Fuel Cost Allocation'!N102</f>
        <v>18574941.70705273</v>
      </c>
      <c r="J22" s="10">
        <f t="shared" si="1"/>
        <v>991794.6750880237</v>
      </c>
      <c r="K22" s="10">
        <f t="shared" si="2"/>
        <v>544669.2052180031</v>
      </c>
      <c r="L22" s="11">
        <f t="shared" si="3"/>
        <v>197803.6378520399</v>
      </c>
      <c r="M22" s="12">
        <f t="shared" si="4"/>
        <v>742472.843070043</v>
      </c>
      <c r="N22" s="12">
        <f t="shared" si="5"/>
        <v>1734267.5181580668</v>
      </c>
      <c r="O22" s="10">
        <f t="shared" si="6"/>
        <v>703650.6483529429</v>
      </c>
      <c r="P22" s="10">
        <f t="shared" si="7"/>
        <v>211095.1945058829</v>
      </c>
      <c r="Q22" s="11">
        <f t="shared" si="8"/>
        <v>67073.56185432509</v>
      </c>
      <c r="R22" s="12">
        <f t="shared" si="9"/>
        <v>278168.756360208</v>
      </c>
      <c r="S22" s="12">
        <f t="shared" si="10"/>
        <v>981819.4047131509</v>
      </c>
      <c r="T22" s="11">
        <f t="shared" si="11"/>
        <v>21291028.629923947</v>
      </c>
      <c r="U22" s="464">
        <f t="shared" si="12"/>
        <v>-17881.872342131188</v>
      </c>
      <c r="V22" s="464">
        <f t="shared" si="13"/>
        <v>-80900.96992995446</v>
      </c>
      <c r="W22" s="11">
        <f t="shared" si="14"/>
        <v>343649.9585246517</v>
      </c>
      <c r="X22" s="12">
        <f t="shared" si="15"/>
        <v>21535895.74617651</v>
      </c>
      <c r="Y22" s="11">
        <f t="shared" si="16"/>
        <v>21253616.301835567</v>
      </c>
      <c r="Z22" s="16">
        <f t="shared" si="17"/>
        <v>0.0361746474969618</v>
      </c>
      <c r="AA22" s="11">
        <f t="shared" si="18"/>
        <v>21350348.379594162</v>
      </c>
      <c r="AB22" s="85">
        <f t="shared" si="19"/>
        <v>5.130830234184805</v>
      </c>
      <c r="AC22" s="124"/>
      <c r="AD22" s="123"/>
      <c r="AE22" s="138"/>
    </row>
    <row r="23" spans="1:31" ht="15">
      <c r="A23" s="117">
        <f>ROW()</f>
        <v>23</v>
      </c>
      <c r="B23" s="448" t="s">
        <v>16</v>
      </c>
      <c r="C23" s="135">
        <v>1.0199922607718757</v>
      </c>
      <c r="D23" s="136">
        <v>109669</v>
      </c>
      <c r="E23" s="137">
        <f t="shared" si="0"/>
        <v>0.01680193983205261</v>
      </c>
      <c r="F23" s="130">
        <f>+'Monthly Energy Allocators'!N61</f>
        <v>267143111.50036898</v>
      </c>
      <c r="G23" s="137">
        <f t="shared" si="0"/>
        <v>0.022540352642197167</v>
      </c>
      <c r="H23" s="221">
        <f>+'Monthly Energy Allocators'!N11</f>
        <v>254225308.01437095</v>
      </c>
      <c r="I23" s="10">
        <f>+'Monthly Fuel Cost Allocation'!N103</f>
        <v>11408709.130732894</v>
      </c>
      <c r="J23" s="10">
        <f>+J$29*$G23</f>
        <v>607926.998129749</v>
      </c>
      <c r="K23" s="10">
        <f>+$G23*K$29</f>
        <v>333858.5326368176</v>
      </c>
      <c r="L23" s="11">
        <f t="shared" si="3"/>
        <v>121902.56505703958</v>
      </c>
      <c r="M23" s="12">
        <f t="shared" si="4"/>
        <v>455761.09769385715</v>
      </c>
      <c r="N23" s="12">
        <f>+J23+K23+L23</f>
        <v>1063688.095823606</v>
      </c>
      <c r="O23" s="10">
        <f t="shared" si="6"/>
        <v>431307.2424464176</v>
      </c>
      <c r="P23" s="10">
        <f t="shared" si="7"/>
        <v>129392.17273392527</v>
      </c>
      <c r="Q23" s="11">
        <f t="shared" si="8"/>
        <v>41336.141874551024</v>
      </c>
      <c r="R23" s="12">
        <f t="shared" si="9"/>
        <v>170728.3146084763</v>
      </c>
      <c r="S23" s="12">
        <f t="shared" si="10"/>
        <v>602035.5570548939</v>
      </c>
      <c r="T23" s="11">
        <f t="shared" si="11"/>
        <v>13074432.783611394</v>
      </c>
      <c r="U23" s="464">
        <f t="shared" si="12"/>
        <v>-10960.809981084427</v>
      </c>
      <c r="V23" s="464">
        <f t="shared" si="13"/>
        <v>-49588.77581283376</v>
      </c>
      <c r="W23" s="11">
        <f t="shared" si="14"/>
        <v>210642.47766279115</v>
      </c>
      <c r="X23" s="12">
        <f t="shared" si="15"/>
        <v>13224525.675480267</v>
      </c>
      <c r="Y23" s="11">
        <f t="shared" si="16"/>
        <v>13488913.841368834</v>
      </c>
      <c r="Z23" s="16">
        <f t="shared" si="17"/>
        <v>0.02295876129495497</v>
      </c>
      <c r="AA23" s="11">
        <f t="shared" si="18"/>
        <v>13550306.248385683</v>
      </c>
      <c r="AB23" s="85">
        <f t="shared" si="19"/>
        <v>5.330038285417165</v>
      </c>
      <c r="AC23" s="124"/>
      <c r="AD23" s="123"/>
      <c r="AE23" s="138"/>
    </row>
    <row r="24" spans="1:31" ht="15">
      <c r="A24" s="117">
        <f>ROW()</f>
        <v>24</v>
      </c>
      <c r="B24" s="448" t="s">
        <v>17</v>
      </c>
      <c r="C24" s="135">
        <v>1.0079264649800135</v>
      </c>
      <c r="D24" s="136">
        <v>249246</v>
      </c>
      <c r="E24" s="137">
        <f t="shared" si="0"/>
        <v>0.03818596226262467</v>
      </c>
      <c r="F24" s="130">
        <f>+'Monthly Energy Allocators'!N62</f>
        <v>514370438.98415357</v>
      </c>
      <c r="G24" s="137">
        <f t="shared" si="0"/>
        <v>0.043400299630816305</v>
      </c>
      <c r="H24" s="221">
        <f>+'Monthly Energy Allocators'!N12</f>
        <v>490737492.0749216</v>
      </c>
      <c r="I24" s="10">
        <f>+'Monthly Fuel Cost Allocation'!N104</f>
        <v>21849260.063632376</v>
      </c>
      <c r="J24" s="10">
        <f t="shared" si="1"/>
        <v>1170532.4353755077</v>
      </c>
      <c r="K24" s="10">
        <f t="shared" si="2"/>
        <v>642827.5804175772</v>
      </c>
      <c r="L24" s="11">
        <f>+$E24*L$29</f>
        <v>277049.3642707318</v>
      </c>
      <c r="M24" s="12">
        <f t="shared" si="4"/>
        <v>919876.944688309</v>
      </c>
      <c r="N24" s="12">
        <f t="shared" si="5"/>
        <v>2090409.3800638167</v>
      </c>
      <c r="O24" s="10">
        <f t="shared" si="6"/>
        <v>830460.1020337451</v>
      </c>
      <c r="P24" s="10">
        <f t="shared" si="7"/>
        <v>249138.03061012353</v>
      </c>
      <c r="Q24" s="11">
        <f t="shared" si="8"/>
        <v>93945.12594866686</v>
      </c>
      <c r="R24" s="12">
        <f t="shared" si="9"/>
        <v>343083.15655879036</v>
      </c>
      <c r="S24" s="12">
        <f t="shared" si="10"/>
        <v>1173543.2585925355</v>
      </c>
      <c r="T24" s="11">
        <f t="shared" si="11"/>
        <v>25113212.70228873</v>
      </c>
      <c r="U24" s="464">
        <f t="shared" si="12"/>
        <v>-21104.480702975197</v>
      </c>
      <c r="V24" s="464">
        <f t="shared" si="13"/>
        <v>-95480.65918779586</v>
      </c>
      <c r="W24" s="11">
        <f t="shared" si="14"/>
        <v>405581.3496204262</v>
      </c>
      <c r="X24" s="12">
        <f t="shared" si="15"/>
        <v>25402208.912018385</v>
      </c>
      <c r="Y24" s="11">
        <f t="shared" si="16"/>
        <v>25603558.631374486</v>
      </c>
      <c r="Z24" s="16">
        <f t="shared" si="17"/>
        <v>0.04357845248564944</v>
      </c>
      <c r="AA24" s="11">
        <f>+Z24*X$29</f>
        <v>25720088.702739935</v>
      </c>
      <c r="AB24" s="85">
        <f t="shared" si="19"/>
        <v>5.241109374788346</v>
      </c>
      <c r="AC24" s="124"/>
      <c r="AD24" s="123"/>
      <c r="AE24" s="138"/>
    </row>
    <row r="25" spans="1:31" ht="15">
      <c r="A25" s="117">
        <f>ROW()</f>
        <v>25</v>
      </c>
      <c r="B25" s="448" t="s">
        <v>18</v>
      </c>
      <c r="C25" s="135">
        <v>0.975411314071792</v>
      </c>
      <c r="D25" s="136">
        <v>369028</v>
      </c>
      <c r="E25" s="137">
        <f t="shared" si="0"/>
        <v>0.056537273544417385</v>
      </c>
      <c r="F25" s="130">
        <f>+'Monthly Energy Allocators'!N63</f>
        <v>955639780.0193923</v>
      </c>
      <c r="G25" s="137">
        <f>+F25/F$29</f>
        <v>0.0806326523621369</v>
      </c>
      <c r="H25" s="221">
        <f>+'Monthly Energy Allocators'!N13</f>
        <v>929020335.81</v>
      </c>
      <c r="I25" s="10">
        <f>+'Monthly Fuel Cost Allocation'!N105</f>
        <v>40628531.082155816</v>
      </c>
      <c r="J25" s="10">
        <f t="shared" si="1"/>
        <v>2174711.5974568576</v>
      </c>
      <c r="K25" s="10">
        <f t="shared" si="2"/>
        <v>1194298.0408319635</v>
      </c>
      <c r="L25" s="11">
        <f t="shared" si="3"/>
        <v>410193.03338107583</v>
      </c>
      <c r="M25" s="12">
        <f t="shared" si="4"/>
        <v>1604491.0742130394</v>
      </c>
      <c r="N25" s="12">
        <f t="shared" si="5"/>
        <v>3779202.6716698967</v>
      </c>
      <c r="O25" s="10">
        <f t="shared" si="6"/>
        <v>1542897.198349417</v>
      </c>
      <c r="P25" s="10">
        <f t="shared" si="7"/>
        <v>462869.1595048251</v>
      </c>
      <c r="Q25" s="11">
        <f>+$E25*Q$29</f>
        <v>139093.0323398756</v>
      </c>
      <c r="R25" s="12">
        <f t="shared" si="9"/>
        <v>601962.1918447006</v>
      </c>
      <c r="S25" s="12">
        <f>+O25+P25+Q25</f>
        <v>2144859.3901941176</v>
      </c>
      <c r="T25" s="11">
        <f t="shared" si="11"/>
        <v>46552593.14401983</v>
      </c>
      <c r="U25" s="464">
        <f t="shared" si="12"/>
        <v>-39209.643027398124</v>
      </c>
      <c r="V25" s="464">
        <f t="shared" si="13"/>
        <v>-177391.83519670114</v>
      </c>
      <c r="W25" s="11">
        <f t="shared" si="14"/>
        <v>753522.446773371</v>
      </c>
      <c r="X25" s="12">
        <f t="shared" si="15"/>
        <v>47089514.1125691</v>
      </c>
      <c r="Y25" s="11">
        <f t="shared" si="16"/>
        <v>45931644.83954322</v>
      </c>
      <c r="Z25" s="16">
        <f t="shared" si="17"/>
        <v>0.07817780454061458</v>
      </c>
      <c r="AA25" s="11">
        <f t="shared" si="18"/>
        <v>46140694.60204482</v>
      </c>
      <c r="AB25" s="85">
        <f t="shared" si="19"/>
        <v>4.966596835774902</v>
      </c>
      <c r="AC25" s="124"/>
      <c r="AD25" s="123"/>
      <c r="AE25" s="138"/>
    </row>
    <row r="26" spans="1:31" ht="15">
      <c r="A26" s="117">
        <f>ROW()</f>
        <v>26</v>
      </c>
      <c r="B26" s="448" t="s">
        <v>42</v>
      </c>
      <c r="C26" s="135">
        <v>0.90990463455193</v>
      </c>
      <c r="D26" s="136">
        <v>749730</v>
      </c>
      <c r="E26" s="137">
        <f t="shared" si="0"/>
        <v>0.11486307297672818</v>
      </c>
      <c r="F26" s="130">
        <f>+'Monthly Energy Allocators'!N64</f>
        <v>1946791980.159884</v>
      </c>
      <c r="G26" s="137">
        <f t="shared" si="0"/>
        <v>0.1642616854589735</v>
      </c>
      <c r="H26" s="221">
        <f>+'Monthly Energy Allocators'!N14</f>
        <v>1931040441</v>
      </c>
      <c r="I26" s="10">
        <f>+'Monthly Fuel Cost Allocation'!N106</f>
        <v>82897744.85052124</v>
      </c>
      <c r="J26" s="10">
        <f t="shared" si="1"/>
        <v>4430237.402846277</v>
      </c>
      <c r="K26" s="10">
        <f t="shared" si="2"/>
        <v>2432977.254007935</v>
      </c>
      <c r="L26" s="11">
        <f t="shared" si="3"/>
        <v>833362.3001961748</v>
      </c>
      <c r="M26" s="12">
        <f t="shared" si="4"/>
        <v>3266339.55420411</v>
      </c>
      <c r="N26" s="12">
        <f t="shared" si="5"/>
        <v>7696576.957050387</v>
      </c>
      <c r="O26" s="10">
        <f t="shared" si="6"/>
        <v>3143129.8223027573</v>
      </c>
      <c r="P26" s="10">
        <f t="shared" si="7"/>
        <v>942938.9466908271</v>
      </c>
      <c r="Q26" s="11">
        <f t="shared" si="8"/>
        <v>282586.1970803704</v>
      </c>
      <c r="R26" s="12">
        <f t="shared" si="9"/>
        <v>1225525.1437711976</v>
      </c>
      <c r="S26" s="12">
        <f t="shared" si="10"/>
        <v>4368654.9660739545</v>
      </c>
      <c r="T26" s="11">
        <f>+I26+N26+S26</f>
        <v>94962976.77364558</v>
      </c>
      <c r="U26" s="464">
        <f t="shared" si="12"/>
        <v>-79876.35109656233</v>
      </c>
      <c r="V26" s="464">
        <f t="shared" si="13"/>
        <v>-361375.7080097416</v>
      </c>
      <c r="W26" s="11">
        <f t="shared" si="14"/>
        <v>1535046.4546579293</v>
      </c>
      <c r="X26" s="12">
        <f t="shared" si="15"/>
        <v>96056771.16919722</v>
      </c>
      <c r="Y26" s="11">
        <f t="shared" si="16"/>
        <v>87402501.26694676</v>
      </c>
      <c r="Z26" s="16">
        <f t="shared" si="17"/>
        <v>0.1487631388834046</v>
      </c>
      <c r="AA26" s="11">
        <f t="shared" si="18"/>
        <v>87800298.30199155</v>
      </c>
      <c r="AB26" s="85">
        <f>+AA26/H26*100</f>
        <v>4.546787132874528</v>
      </c>
      <c r="AC26" s="124"/>
      <c r="AD26" s="123"/>
      <c r="AE26" s="138"/>
    </row>
    <row r="27" spans="1:31" ht="15">
      <c r="A27" s="117">
        <f>ROW()</f>
        <v>27</v>
      </c>
      <c r="B27" s="448" t="s">
        <v>19</v>
      </c>
      <c r="C27" s="135">
        <v>0.9983575193075592</v>
      </c>
      <c r="D27" s="136">
        <v>113817</v>
      </c>
      <c r="E27" s="137">
        <f t="shared" si="0"/>
        <v>0.01743743798032928</v>
      </c>
      <c r="F27" s="130">
        <f>+'Monthly Energy Allocators'!N65</f>
        <v>200272541.2128538</v>
      </c>
      <c r="G27" s="137">
        <f t="shared" si="0"/>
        <v>0.016898110073410803</v>
      </c>
      <c r="H27" s="221">
        <f>+'Monthly Energy Allocators'!N15</f>
        <v>193176068</v>
      </c>
      <c r="I27" s="10">
        <f>+'Monthly Fuel Cost Allocation'!N107</f>
        <v>8576978.539881952</v>
      </c>
      <c r="J27" s="10">
        <f t="shared" si="1"/>
        <v>455752.2898627258</v>
      </c>
      <c r="K27" s="10">
        <f t="shared" si="2"/>
        <v>250287.9312936265</v>
      </c>
      <c r="L27" s="11">
        <f t="shared" si="3"/>
        <v>126513.27400721329</v>
      </c>
      <c r="M27" s="12">
        <f t="shared" si="4"/>
        <v>376801.2053008398</v>
      </c>
      <c r="N27" s="12">
        <f>+J27+K27+L27</f>
        <v>832553.4951635656</v>
      </c>
      <c r="O27" s="10">
        <f t="shared" si="6"/>
        <v>323343.5329966694</v>
      </c>
      <c r="P27" s="10">
        <f t="shared" si="7"/>
        <v>97003.05989900083</v>
      </c>
      <c r="Q27" s="11">
        <f t="shared" si="8"/>
        <v>42899.59477824886</v>
      </c>
      <c r="R27" s="12">
        <f t="shared" si="9"/>
        <v>139902.6546772497</v>
      </c>
      <c r="S27" s="12">
        <f t="shared" si="10"/>
        <v>463246.1876739191</v>
      </c>
      <c r="T27" s="11">
        <f t="shared" si="11"/>
        <v>9872778.222719437</v>
      </c>
      <c r="U27" s="464">
        <f t="shared" si="12"/>
        <v>-8217.128475947839</v>
      </c>
      <c r="V27" s="464">
        <f t="shared" si="13"/>
        <v>-37175.84216150376</v>
      </c>
      <c r="W27" s="11">
        <f t="shared" si="14"/>
        <v>157914.999387288</v>
      </c>
      <c r="X27" s="12">
        <f t="shared" si="15"/>
        <v>9985300.251469273</v>
      </c>
      <c r="Y27" s="11">
        <f t="shared" si="16"/>
        <v>9968899.588598011</v>
      </c>
      <c r="Z27" s="16">
        <f t="shared" si="17"/>
        <v>0.016967532650855068</v>
      </c>
      <c r="AA27" s="11">
        <f t="shared" si="18"/>
        <v>10014271.272949373</v>
      </c>
      <c r="AB27" s="85">
        <f t="shared" si="19"/>
        <v>5.184012376185943</v>
      </c>
      <c r="AC27" s="124"/>
      <c r="AD27" s="123"/>
      <c r="AE27" s="138"/>
    </row>
    <row r="28" spans="1:31" ht="19.5">
      <c r="A28" s="117">
        <f>ROW()</f>
        <v>28</v>
      </c>
      <c r="B28" s="448" t="s">
        <v>265</v>
      </c>
      <c r="C28" s="135">
        <v>1</v>
      </c>
      <c r="D28" s="140">
        <v>86672</v>
      </c>
      <c r="E28" s="141">
        <f t="shared" si="0"/>
        <v>0.013278663333518712</v>
      </c>
      <c r="F28" s="134">
        <f>+'Monthly Energy Allocators'!N66</f>
        <v>123668825.67433992</v>
      </c>
      <c r="G28" s="141">
        <f t="shared" si="0"/>
        <v>0.010434627813871887</v>
      </c>
      <c r="H28" s="228">
        <f>+'Monthly Energy Allocators'!N16</f>
        <v>112849261.20181432</v>
      </c>
      <c r="I28" s="7">
        <f>+'Monthly Fuel Cost Allocation'!N108</f>
        <v>5256802.0888412595</v>
      </c>
      <c r="J28" s="13">
        <f>+J$29*$G28</f>
        <v>281428.24844775704</v>
      </c>
      <c r="K28" s="13">
        <f t="shared" si="2"/>
        <v>154553.46177809453</v>
      </c>
      <c r="L28" s="14">
        <f t="shared" si="3"/>
        <v>96340.25220092948</v>
      </c>
      <c r="M28" s="15">
        <f t="shared" si="4"/>
        <v>250893.713979024</v>
      </c>
      <c r="N28" s="15">
        <f t="shared" si="5"/>
        <v>532321.9624267811</v>
      </c>
      <c r="O28" s="13">
        <f t="shared" si="6"/>
        <v>199665.48970180954</v>
      </c>
      <c r="P28" s="13">
        <f t="shared" si="7"/>
        <v>59899.64691054286</v>
      </c>
      <c r="Q28" s="14">
        <f t="shared" si="8"/>
        <v>32668.175040814505</v>
      </c>
      <c r="R28" s="15">
        <f t="shared" si="9"/>
        <v>92567.82195135737</v>
      </c>
      <c r="S28" s="15">
        <f t="shared" si="10"/>
        <v>292233.3116531669</v>
      </c>
      <c r="T28" s="8">
        <f t="shared" si="11"/>
        <v>6081357.362921207</v>
      </c>
      <c r="U28" s="465">
        <f t="shared" si="12"/>
        <v>-5074.098640190552</v>
      </c>
      <c r="V28" s="465">
        <f t="shared" si="13"/>
        <v>-22956.181190518146</v>
      </c>
      <c r="W28" s="14">
        <f t="shared" si="14"/>
        <v>97512.93119027244</v>
      </c>
      <c r="X28" s="15">
        <f t="shared" si="15"/>
        <v>6150840.014280772</v>
      </c>
      <c r="Y28" s="8">
        <f t="shared" si="16"/>
        <v>6150840.014280772</v>
      </c>
      <c r="Z28" s="17">
        <f t="shared" si="17"/>
        <v>0.010469016950663488</v>
      </c>
      <c r="AA28" s="8">
        <f>+Z28*X$29</f>
        <v>6178834.475368821</v>
      </c>
      <c r="AB28" s="86">
        <f t="shared" si="19"/>
        <v>5.475299004677472</v>
      </c>
      <c r="AC28" s="124"/>
      <c r="AD28" s="123"/>
      <c r="AE28" s="138"/>
    </row>
    <row r="29" spans="1:31" ht="15">
      <c r="A29" s="117">
        <f>ROW()</f>
        <v>29</v>
      </c>
      <c r="B29" s="449" t="s">
        <v>30</v>
      </c>
      <c r="C29" s="135">
        <v>1</v>
      </c>
      <c r="D29" s="130">
        <f>D18+SUM(D20:D28)</f>
        <v>6527163</v>
      </c>
      <c r="E29" s="137">
        <f>SUM(E18:E28)</f>
        <v>1</v>
      </c>
      <c r="F29" s="130">
        <f>F18+SUM(F20:F28)</f>
        <v>11851771608.943588</v>
      </c>
      <c r="G29" s="137">
        <f>SUM(G18:G28)</f>
        <v>0.9999999999999998</v>
      </c>
      <c r="H29" s="221">
        <f>H18+SUM(H20:H28)</f>
        <v>11146767730.62698</v>
      </c>
      <c r="I29" s="10">
        <f>I18+SUM(I20:I28)</f>
        <v>507170092.08779424</v>
      </c>
      <c r="J29" s="10">
        <f>+N29*J31</f>
        <v>26970607.238489505</v>
      </c>
      <c r="K29" s="10">
        <f>+M29*K31</f>
        <v>14811593.143037627</v>
      </c>
      <c r="L29" s="11">
        <f>+M29*L31</f>
        <v>7255267.32481742</v>
      </c>
      <c r="M29" s="12">
        <f>+N29*M31</f>
        <v>22066860.467855047</v>
      </c>
      <c r="N29" s="12">
        <f>+N39-N36</f>
        <v>49037467.70634455</v>
      </c>
      <c r="O29" s="10">
        <f>+S29*O31</f>
        <v>19134893.286406677</v>
      </c>
      <c r="P29" s="10">
        <f>+R29*P31</f>
        <v>5740467.985922003</v>
      </c>
      <c r="Q29" s="11">
        <f>+R29*Q31</f>
        <v>2460200.5653951443</v>
      </c>
      <c r="R29" s="12">
        <f>+S29*R31</f>
        <v>8200668.551317148</v>
      </c>
      <c r="S29" s="12">
        <f>+S39-S36</f>
        <v>27335561.83772383</v>
      </c>
      <c r="T29" s="11">
        <f>T18+SUM(T20:T28)</f>
        <v>583543121.6318626</v>
      </c>
      <c r="U29" s="464">
        <f>-'Monthly Fuel Cost Allocation'!N8</f>
        <v>-486275</v>
      </c>
      <c r="V29" s="464">
        <f>+'Data Inputs - 2010'!O9</f>
        <v>-2199999.9999999995</v>
      </c>
      <c r="W29" s="11">
        <f>+'Data Inputs - 2010'!O10</f>
        <v>9345127.869404014</v>
      </c>
      <c r="X29" s="12">
        <f>X18+SUM(X20:X28)</f>
        <v>590201974.5012667</v>
      </c>
      <c r="Y29" s="11">
        <f>SUM(Y18:Y28)</f>
        <v>587527944.9128176</v>
      </c>
      <c r="Z29" s="16">
        <f>SUM(Z18:Z28)</f>
        <v>1</v>
      </c>
      <c r="AA29" s="11">
        <f>SUM(AA18:AA28)</f>
        <v>590201974.5012667</v>
      </c>
      <c r="AB29" s="85">
        <f t="shared" si="19"/>
        <v>5.294826166330005</v>
      </c>
      <c r="AC29" s="124"/>
      <c r="AD29" s="123"/>
      <c r="AE29" s="138"/>
    </row>
    <row r="30" spans="1:31" ht="15">
      <c r="A30" s="117">
        <f>ROW()</f>
        <v>30</v>
      </c>
      <c r="B30" s="450"/>
      <c r="C30" s="128"/>
      <c r="D30" s="128"/>
      <c r="E30" s="123"/>
      <c r="F30" s="130"/>
      <c r="G30" s="130"/>
      <c r="H30" s="221"/>
      <c r="I30" s="10"/>
      <c r="J30" s="10"/>
      <c r="K30" s="142"/>
      <c r="L30" s="123"/>
      <c r="M30" s="129"/>
      <c r="N30" s="143"/>
      <c r="O30" s="10"/>
      <c r="P30" s="142"/>
      <c r="Q30" s="123"/>
      <c r="R30" s="129"/>
      <c r="S30" s="143"/>
      <c r="T30" s="144"/>
      <c r="U30" s="144"/>
      <c r="V30" s="144"/>
      <c r="W30" s="144"/>
      <c r="X30" s="12"/>
      <c r="Y30" s="11"/>
      <c r="Z30" s="123"/>
      <c r="AA30" s="123"/>
      <c r="AB30" s="85"/>
      <c r="AC30" s="124"/>
      <c r="AD30" s="123"/>
      <c r="AE30" s="138"/>
    </row>
    <row r="31" spans="1:31" ht="15">
      <c r="A31" s="117">
        <f>ROW()</f>
        <v>31</v>
      </c>
      <c r="B31" s="450" t="s">
        <v>242</v>
      </c>
      <c r="C31" s="128"/>
      <c r="D31" s="128"/>
      <c r="E31" s="123"/>
      <c r="F31" s="130"/>
      <c r="G31" s="130"/>
      <c r="H31" s="221"/>
      <c r="I31" s="10"/>
      <c r="J31" s="145">
        <v>0.55</v>
      </c>
      <c r="K31" s="146">
        <f>1-L31</f>
        <v>0.6712143381073071</v>
      </c>
      <c r="L31" s="147">
        <f>511891/1556914</f>
        <v>0.32878566189269287</v>
      </c>
      <c r="M31" s="148">
        <v>0.45</v>
      </c>
      <c r="N31" s="143"/>
      <c r="O31" s="145">
        <v>0.7</v>
      </c>
      <c r="P31" s="146">
        <f>1-Q31</f>
        <v>0.7</v>
      </c>
      <c r="Q31" s="147">
        <f>513.3/1711</f>
        <v>0.3</v>
      </c>
      <c r="R31" s="148">
        <v>0.3</v>
      </c>
      <c r="S31" s="143"/>
      <c r="T31" s="144"/>
      <c r="U31" s="11"/>
      <c r="V31" s="11"/>
      <c r="W31" s="11"/>
      <c r="X31" s="12"/>
      <c r="Y31" s="11"/>
      <c r="Z31" s="123"/>
      <c r="AA31" s="123"/>
      <c r="AB31" s="85"/>
      <c r="AC31" s="124"/>
      <c r="AD31" s="123"/>
      <c r="AE31" s="138"/>
    </row>
    <row r="32" spans="1:31" ht="15">
      <c r="A32" s="117"/>
      <c r="B32" s="450"/>
      <c r="C32" s="128"/>
      <c r="D32" s="128"/>
      <c r="E32" s="123"/>
      <c r="F32" s="130"/>
      <c r="G32" s="130"/>
      <c r="H32" s="221"/>
      <c r="I32" s="10"/>
      <c r="J32" s="145"/>
      <c r="K32" s="149"/>
      <c r="L32" s="149"/>
      <c r="M32" s="149"/>
      <c r="N32" s="143"/>
      <c r="O32" s="145"/>
      <c r="P32" s="149"/>
      <c r="Q32" s="149"/>
      <c r="R32" s="149"/>
      <c r="S32" s="143"/>
      <c r="T32" s="144"/>
      <c r="U32" s="11"/>
      <c r="V32" s="11"/>
      <c r="W32" s="11"/>
      <c r="X32" s="12"/>
      <c r="Y32" s="11"/>
      <c r="Z32" s="123"/>
      <c r="AA32" s="123"/>
      <c r="AB32" s="85"/>
      <c r="AC32" s="124"/>
      <c r="AD32" s="123"/>
      <c r="AE32" s="138"/>
    </row>
    <row r="33" spans="1:31" ht="15">
      <c r="A33" s="117">
        <f>ROW()</f>
        <v>33</v>
      </c>
      <c r="B33" s="450" t="s">
        <v>108</v>
      </c>
      <c r="C33" s="128"/>
      <c r="D33" s="128"/>
      <c r="E33" s="123"/>
      <c r="F33" s="130"/>
      <c r="G33" s="130"/>
      <c r="H33" s="221"/>
      <c r="I33" s="10"/>
      <c r="J33" s="142"/>
      <c r="K33" s="11"/>
      <c r="L33" s="11"/>
      <c r="M33" s="144"/>
      <c r="N33" s="143"/>
      <c r="O33" s="142"/>
      <c r="P33" s="11"/>
      <c r="Q33" s="11"/>
      <c r="R33" s="144"/>
      <c r="S33" s="143"/>
      <c r="T33" s="144"/>
      <c r="U33" s="144"/>
      <c r="V33" s="144"/>
      <c r="W33" s="144"/>
      <c r="X33" s="12"/>
      <c r="Y33" s="11"/>
      <c r="Z33" s="123"/>
      <c r="AA33" s="123"/>
      <c r="AB33" s="85"/>
      <c r="AC33" s="124"/>
      <c r="AD33" s="123"/>
      <c r="AE33" s="138"/>
    </row>
    <row r="34" spans="1:33" ht="15">
      <c r="A34" s="117">
        <f>ROW()</f>
        <v>34</v>
      </c>
      <c r="B34" s="450" t="s">
        <v>183</v>
      </c>
      <c r="C34" s="135">
        <v>1</v>
      </c>
      <c r="D34" s="271">
        <f>168311-D43</f>
        <v>84311</v>
      </c>
      <c r="E34" s="150"/>
      <c r="F34" s="130">
        <f>+'Monthly Energy Allocators'!N70</f>
        <v>169187412.06657326</v>
      </c>
      <c r="G34" s="130"/>
      <c r="H34" s="221">
        <f>+'Monthly Fuel Cost Allocation'!N51</f>
        <v>167228144</v>
      </c>
      <c r="I34" s="10">
        <f>+'Monthly Fuel Cost Allocation'!N54</f>
        <v>6144250.51129886</v>
      </c>
      <c r="J34" s="151">
        <f>+J$31*N34</f>
        <v>301311.6115104956</v>
      </c>
      <c r="K34" s="144"/>
      <c r="L34" s="144"/>
      <c r="M34" s="144">
        <f>+M$31*N34</f>
        <v>246527.68214495093</v>
      </c>
      <c r="N34" s="12">
        <f>+'Monthly Fuel Cost Allocation'!N57</f>
        <v>547839.2936554465</v>
      </c>
      <c r="O34" s="151">
        <f>+O$31*S34</f>
        <v>217633.61359331926</v>
      </c>
      <c r="P34" s="144"/>
      <c r="Q34" s="144"/>
      <c r="R34" s="144">
        <f>+R$31*S34</f>
        <v>93271.54868285112</v>
      </c>
      <c r="S34" s="12">
        <f>+'Monthly Fuel Cost Allocation'!N59</f>
        <v>310905.1622761704</v>
      </c>
      <c r="T34" s="11">
        <f>+I34+N34+S34</f>
        <v>7002994.967230477</v>
      </c>
      <c r="U34" s="144">
        <v>0</v>
      </c>
      <c r="V34" s="144"/>
      <c r="W34" s="144"/>
      <c r="X34" s="12">
        <f>+T34+U34</f>
        <v>7002994.967230477</v>
      </c>
      <c r="Y34" s="11" t="s">
        <v>32</v>
      </c>
      <c r="Z34" s="152" t="s">
        <v>32</v>
      </c>
      <c r="AA34" s="144">
        <f>+X34</f>
        <v>7002994.967230477</v>
      </c>
      <c r="AB34" s="85">
        <f>+AA34/H34*100</f>
        <v>4.18768922486545</v>
      </c>
      <c r="AC34" s="124"/>
      <c r="AD34" s="123"/>
      <c r="AE34" s="138"/>
      <c r="AG34" s="26"/>
    </row>
    <row r="35" spans="1:33" ht="15">
      <c r="A35" s="117">
        <f>ROW()</f>
        <v>35</v>
      </c>
      <c r="B35" s="450" t="s">
        <v>184</v>
      </c>
      <c r="C35" s="135">
        <v>1</v>
      </c>
      <c r="D35" s="272">
        <v>0</v>
      </c>
      <c r="E35" s="153"/>
      <c r="F35" s="134">
        <f>+'Monthly Energy Allocators'!N73</f>
        <v>0</v>
      </c>
      <c r="G35" s="134"/>
      <c r="H35" s="228">
        <f>+'Monthly Fuel Cost Allocation'!N73</f>
        <v>0</v>
      </c>
      <c r="I35" s="7">
        <f>+'Monthly Fuel Cost Allocation'!N75</f>
        <v>0</v>
      </c>
      <c r="J35" s="154">
        <f>+J$31*N35</f>
        <v>0</v>
      </c>
      <c r="K35" s="155"/>
      <c r="L35" s="155"/>
      <c r="M35" s="155">
        <f>+M$31*N35</f>
        <v>0</v>
      </c>
      <c r="N35" s="9">
        <f>+'Monthly Fuel Cost Allocation'!N77</f>
        <v>0</v>
      </c>
      <c r="O35" s="154">
        <f>+O$31*S35</f>
        <v>0</v>
      </c>
      <c r="P35" s="155"/>
      <c r="Q35" s="155"/>
      <c r="R35" s="155">
        <f>+R$31*S35</f>
        <v>0</v>
      </c>
      <c r="S35" s="9">
        <f>+'Monthly Fuel Cost Allocation'!N79</f>
        <v>0</v>
      </c>
      <c r="T35" s="8">
        <f>+I35+N35+S35</f>
        <v>0</v>
      </c>
      <c r="U35" s="155">
        <v>0</v>
      </c>
      <c r="V35" s="155"/>
      <c r="W35" s="155"/>
      <c r="X35" s="9">
        <f>+T35+U35</f>
        <v>0</v>
      </c>
      <c r="Y35" s="11"/>
      <c r="Z35" s="152"/>
      <c r="AA35" s="155">
        <f>+X35</f>
        <v>0</v>
      </c>
      <c r="AB35" s="87"/>
      <c r="AC35" s="124"/>
      <c r="AD35" s="123"/>
      <c r="AE35" s="138"/>
      <c r="AG35" s="26"/>
    </row>
    <row r="36" spans="1:33" ht="15">
      <c r="A36" s="117">
        <f>ROW()</f>
        <v>36</v>
      </c>
      <c r="B36" s="450" t="s">
        <v>161</v>
      </c>
      <c r="C36" s="135"/>
      <c r="D36" s="271">
        <f>SUM(D34:D35)</f>
        <v>84311</v>
      </c>
      <c r="E36" s="150"/>
      <c r="F36" s="130">
        <f>+F34+F35</f>
        <v>169187412.06657326</v>
      </c>
      <c r="G36" s="130"/>
      <c r="H36" s="221">
        <f>+H34+H35</f>
        <v>167228144</v>
      </c>
      <c r="I36" s="10">
        <f>+I34+I35</f>
        <v>6144250.51129886</v>
      </c>
      <c r="J36" s="151">
        <f>+J34+J35</f>
        <v>301311.6115104956</v>
      </c>
      <c r="K36" s="144"/>
      <c r="L36" s="144"/>
      <c r="M36" s="144">
        <f>+M34+M35</f>
        <v>246527.68214495093</v>
      </c>
      <c r="N36" s="12">
        <f>+N34+N35</f>
        <v>547839.2936554465</v>
      </c>
      <c r="O36" s="151">
        <f>+O34+O35</f>
        <v>217633.61359331926</v>
      </c>
      <c r="P36" s="144"/>
      <c r="Q36" s="144"/>
      <c r="R36" s="144">
        <f>+R34+R35</f>
        <v>93271.54868285112</v>
      </c>
      <c r="S36" s="12">
        <f>+S34+S35</f>
        <v>310905.1622761704</v>
      </c>
      <c r="T36" s="11">
        <f>+T34+T35</f>
        <v>7002994.967230477</v>
      </c>
      <c r="U36" s="144">
        <f>+U34+U35</f>
        <v>0</v>
      </c>
      <c r="V36" s="144"/>
      <c r="W36" s="144"/>
      <c r="X36" s="12">
        <f>+X34+X35</f>
        <v>7002994.967230477</v>
      </c>
      <c r="Y36" s="11"/>
      <c r="Z36" s="152"/>
      <c r="AA36" s="144">
        <f>+X36</f>
        <v>7002994.967230477</v>
      </c>
      <c r="AB36" s="85">
        <f>+AA36/H36*100</f>
        <v>4.18768922486545</v>
      </c>
      <c r="AC36" s="124"/>
      <c r="AD36" s="123"/>
      <c r="AE36" s="138"/>
      <c r="AG36" s="111"/>
    </row>
    <row r="37" spans="1:31" ht="15">
      <c r="A37" s="117">
        <f>ROW()</f>
        <v>37</v>
      </c>
      <c r="B37" s="450"/>
      <c r="C37" s="135"/>
      <c r="D37" s="271"/>
      <c r="E37" s="150"/>
      <c r="F37" s="130"/>
      <c r="G37" s="130"/>
      <c r="H37" s="221"/>
      <c r="I37" s="10"/>
      <c r="J37" s="151"/>
      <c r="K37" s="144"/>
      <c r="L37" s="144"/>
      <c r="M37" s="144"/>
      <c r="N37" s="12"/>
      <c r="O37" s="151"/>
      <c r="P37" s="144"/>
      <c r="Q37" s="144"/>
      <c r="R37" s="144"/>
      <c r="S37" s="12"/>
      <c r="T37" s="11"/>
      <c r="U37" s="144"/>
      <c r="V37" s="144"/>
      <c r="W37" s="144"/>
      <c r="X37" s="12"/>
      <c r="Y37" s="11"/>
      <c r="Z37" s="152"/>
      <c r="AA37" s="144"/>
      <c r="AB37" s="85"/>
      <c r="AC37" s="124"/>
      <c r="AD37" s="123"/>
      <c r="AE37" s="139"/>
    </row>
    <row r="38" spans="1:31" ht="10.5" customHeight="1">
      <c r="A38" s="117">
        <f>ROW()</f>
        <v>38</v>
      </c>
      <c r="B38" s="450"/>
      <c r="C38" s="128"/>
      <c r="D38" s="271"/>
      <c r="E38" s="123"/>
      <c r="F38" s="130"/>
      <c r="G38" s="130"/>
      <c r="H38" s="221"/>
      <c r="I38" s="168"/>
      <c r="J38" s="169"/>
      <c r="K38" s="170"/>
      <c r="L38" s="170"/>
      <c r="M38" s="170"/>
      <c r="N38" s="171"/>
      <c r="O38" s="169"/>
      <c r="P38" s="170"/>
      <c r="Q38" s="170"/>
      <c r="R38" s="170"/>
      <c r="S38" s="171"/>
      <c r="T38" s="170"/>
      <c r="U38" s="170"/>
      <c r="V38" s="170"/>
      <c r="W38" s="170"/>
      <c r="X38" s="172"/>
      <c r="Y38" s="173"/>
      <c r="Z38" s="170"/>
      <c r="AA38" s="170"/>
      <c r="AB38" s="85"/>
      <c r="AC38" s="124"/>
      <c r="AD38" s="123"/>
      <c r="AE38" s="139"/>
    </row>
    <row r="39" spans="1:33" ht="31.5" customHeight="1">
      <c r="A39" s="117">
        <f>ROW()</f>
        <v>39</v>
      </c>
      <c r="B39" s="156" t="s">
        <v>244</v>
      </c>
      <c r="C39" s="157"/>
      <c r="D39" s="273">
        <f>+D29+D36</f>
        <v>6611474</v>
      </c>
      <c r="E39" s="158"/>
      <c r="F39" s="159">
        <f>+F29+F36</f>
        <v>12020959021.010162</v>
      </c>
      <c r="G39" s="159"/>
      <c r="H39" s="239">
        <f>+H29+H36</f>
        <v>11313995874.62698</v>
      </c>
      <c r="I39" s="174">
        <f>+I29+I36</f>
        <v>513314342.5990931</v>
      </c>
      <c r="J39" s="175">
        <f>+J29+J36</f>
        <v>27271918.85</v>
      </c>
      <c r="K39" s="176">
        <f>+K29+K36</f>
        <v>14811593.143037627</v>
      </c>
      <c r="L39" s="176">
        <f>+L29+L36</f>
        <v>7255267.32481742</v>
      </c>
      <c r="M39" s="176">
        <f>+K39+L39</f>
        <v>22066860.467855047</v>
      </c>
      <c r="N39" s="176">
        <f>+N51-N45</f>
        <v>49585307</v>
      </c>
      <c r="O39" s="175">
        <f>+O29+O36</f>
        <v>19352526.899999995</v>
      </c>
      <c r="P39" s="176">
        <f>+P29+P36</f>
        <v>5740467.985922003</v>
      </c>
      <c r="Q39" s="176">
        <f>+Q29+Q36</f>
        <v>2460200.5653951443</v>
      </c>
      <c r="R39" s="176">
        <f>+P39+Q39</f>
        <v>8200668.551317148</v>
      </c>
      <c r="S39" s="176">
        <f>+S51-S45</f>
        <v>27646467</v>
      </c>
      <c r="T39" s="177">
        <f>+T29+T36</f>
        <v>590546116.5990931</v>
      </c>
      <c r="U39" s="466">
        <f>+U29+U36</f>
        <v>-486275</v>
      </c>
      <c r="V39" s="466">
        <f>+V29+V36</f>
        <v>-2199999.9999999995</v>
      </c>
      <c r="W39" s="178">
        <f>+W29+W36</f>
        <v>9345127.869404014</v>
      </c>
      <c r="X39" s="179">
        <f>+X29+X36</f>
        <v>597204969.4684972</v>
      </c>
      <c r="Y39" s="93"/>
      <c r="Z39" s="178"/>
      <c r="AA39" s="178">
        <f>+AA29+AA36</f>
        <v>597204969.4684972</v>
      </c>
      <c r="AB39" s="112">
        <f>+AA39/H39*100</f>
        <v>5.278461969460342</v>
      </c>
      <c r="AC39" s="124"/>
      <c r="AD39" s="123"/>
      <c r="AE39" s="139"/>
      <c r="AG39" s="180"/>
    </row>
    <row r="40" spans="1:31" ht="15">
      <c r="A40" s="117">
        <f>ROW()</f>
        <v>40</v>
      </c>
      <c r="B40" s="451"/>
      <c r="C40" s="157"/>
      <c r="D40" s="274"/>
      <c r="E40" s="158"/>
      <c r="F40" s="159"/>
      <c r="G40" s="161"/>
      <c r="H40" s="241"/>
      <c r="I40" s="23"/>
      <c r="J40" s="22"/>
      <c r="K40" s="23"/>
      <c r="L40" s="23"/>
      <c r="M40" s="23"/>
      <c r="N40" s="24"/>
      <c r="O40" s="22"/>
      <c r="P40" s="23"/>
      <c r="Q40" s="23"/>
      <c r="R40" s="23"/>
      <c r="S40" s="24"/>
      <c r="T40" s="23"/>
      <c r="U40" s="23"/>
      <c r="V40" s="23"/>
      <c r="W40" s="23"/>
      <c r="X40" s="24"/>
      <c r="Y40" s="23"/>
      <c r="Z40" s="160"/>
      <c r="AA40" s="144"/>
      <c r="AB40" s="88"/>
      <c r="AC40" s="124"/>
      <c r="AD40" s="123"/>
      <c r="AE40" s="123"/>
    </row>
    <row r="41" spans="1:33" ht="12" customHeight="1">
      <c r="A41" s="117">
        <f>ROW()</f>
        <v>41</v>
      </c>
      <c r="B41" s="451" t="s">
        <v>243</v>
      </c>
      <c r="C41" s="128"/>
      <c r="D41" s="271"/>
      <c r="E41" s="123"/>
      <c r="F41" s="130"/>
      <c r="G41" s="136"/>
      <c r="H41" s="222"/>
      <c r="I41" s="11"/>
      <c r="J41" s="10"/>
      <c r="K41" s="11"/>
      <c r="L41" s="11"/>
      <c r="M41" s="11"/>
      <c r="N41" s="12"/>
      <c r="O41" s="10"/>
      <c r="P41" s="11"/>
      <c r="Q41" s="11"/>
      <c r="R41" s="11"/>
      <c r="S41" s="12"/>
      <c r="T41" s="11"/>
      <c r="U41" s="11"/>
      <c r="V41" s="11"/>
      <c r="W41" s="11"/>
      <c r="X41" s="12"/>
      <c r="Y41" s="11"/>
      <c r="Z41" s="123"/>
      <c r="AA41" s="144"/>
      <c r="AB41" s="89"/>
      <c r="AC41" s="124"/>
      <c r="AD41" s="123"/>
      <c r="AE41" s="123"/>
      <c r="AG41" s="111"/>
    </row>
    <row r="42" spans="1:31" ht="15">
      <c r="A42" s="117">
        <f>ROW()</f>
        <v>42</v>
      </c>
      <c r="B42" s="450" t="s">
        <v>185</v>
      </c>
      <c r="C42" s="220">
        <v>1</v>
      </c>
      <c r="D42" s="275">
        <v>-650</v>
      </c>
      <c r="E42" s="219"/>
      <c r="F42" s="221">
        <f>+'Monthly Energy Allocators'!N71</f>
        <v>20580161.170172594</v>
      </c>
      <c r="G42" s="222"/>
      <c r="H42" s="222">
        <f>+'Monthly Energy Allocators'!N21</f>
        <v>20365267.46</v>
      </c>
      <c r="I42" s="223">
        <f>+'Monthly Fuel Cost Allocation'!N67</f>
        <v>1110380.68</v>
      </c>
      <c r="J42" s="224"/>
      <c r="K42" s="223"/>
      <c r="L42" s="223"/>
      <c r="M42" s="223"/>
      <c r="N42" s="225">
        <f>+J42+K42+L42</f>
        <v>0</v>
      </c>
      <c r="O42" s="224"/>
      <c r="P42" s="223"/>
      <c r="Q42" s="223"/>
      <c r="R42" s="223"/>
      <c r="S42" s="225">
        <f>+O42+P42+Q42</f>
        <v>0</v>
      </c>
      <c r="T42" s="223">
        <f>+I42+N42+S42</f>
        <v>1110380.68</v>
      </c>
      <c r="U42" s="223">
        <v>0</v>
      </c>
      <c r="V42" s="223"/>
      <c r="W42" s="223"/>
      <c r="X42" s="225">
        <f>+T42+U42</f>
        <v>1110380.68</v>
      </c>
      <c r="Y42" s="223"/>
      <c r="Z42" s="45"/>
      <c r="AA42" s="226">
        <f>+X42</f>
        <v>1110380.68</v>
      </c>
      <c r="AB42" s="227"/>
      <c r="AC42" s="124"/>
      <c r="AD42" s="123"/>
      <c r="AE42" s="123"/>
    </row>
    <row r="43" spans="1:31" ht="25.5">
      <c r="A43" s="117">
        <f>ROW()</f>
        <v>43</v>
      </c>
      <c r="B43" s="450" t="s">
        <v>187</v>
      </c>
      <c r="C43" s="220">
        <v>1</v>
      </c>
      <c r="D43" s="275">
        <f>28000*3</f>
        <v>84000</v>
      </c>
      <c r="E43" s="219"/>
      <c r="F43" s="221">
        <f>+'Monthly Energy Allocators'!N72</f>
        <v>191015027.91983756</v>
      </c>
      <c r="G43" s="222"/>
      <c r="H43" s="222">
        <f>+'Monthly Energy Allocators'!N22</f>
        <v>188995301</v>
      </c>
      <c r="I43" s="223">
        <f>+'Monthly Fuel Cost Allocation'!N71</f>
        <v>106619.60456974119</v>
      </c>
      <c r="J43" s="224"/>
      <c r="K43" s="223"/>
      <c r="L43" s="223"/>
      <c r="M43" s="223"/>
      <c r="N43" s="225">
        <v>0</v>
      </c>
      <c r="O43" s="224"/>
      <c r="P43" s="223"/>
      <c r="Q43" s="223"/>
      <c r="R43" s="223"/>
      <c r="S43" s="225">
        <v>0</v>
      </c>
      <c r="T43" s="223">
        <f>+I43+N43+S43</f>
        <v>106619.60456974119</v>
      </c>
      <c r="U43" s="223">
        <v>0</v>
      </c>
      <c r="V43" s="223"/>
      <c r="W43" s="223"/>
      <c r="X43" s="225">
        <f>+T43+U43</f>
        <v>106619.60456974119</v>
      </c>
      <c r="Y43" s="223"/>
      <c r="Z43" s="45"/>
      <c r="AA43" s="226">
        <f>+X43</f>
        <v>106619.60456974119</v>
      </c>
      <c r="AB43" s="227"/>
      <c r="AC43" s="124"/>
      <c r="AD43" s="123"/>
      <c r="AE43" s="123"/>
    </row>
    <row r="44" spans="1:31" ht="15">
      <c r="A44" s="117">
        <f>ROW()</f>
        <v>44</v>
      </c>
      <c r="B44" s="448" t="s">
        <v>186</v>
      </c>
      <c r="C44" s="220"/>
      <c r="D44" s="276">
        <v>0</v>
      </c>
      <c r="E44" s="219"/>
      <c r="F44" s="228">
        <f>+'Monthly Energy Allocators'!N74</f>
        <v>-74890796.45453283</v>
      </c>
      <c r="G44" s="229"/>
      <c r="H44" s="228">
        <f>+'Monthly Energy Allocators'!N24</f>
        <v>-73962651</v>
      </c>
      <c r="I44" s="467">
        <f>+'Monthly Fuel Cost Allocation'!N83+'Monthly Fuel Cost Allocation'!N84</f>
        <v>-4724653.953662886</v>
      </c>
      <c r="J44" s="231"/>
      <c r="K44" s="230"/>
      <c r="L44" s="230"/>
      <c r="M44" s="230"/>
      <c r="N44" s="225">
        <v>0</v>
      </c>
      <c r="O44" s="231"/>
      <c r="P44" s="230"/>
      <c r="Q44" s="230"/>
      <c r="R44" s="230"/>
      <c r="S44" s="225">
        <v>0</v>
      </c>
      <c r="T44" s="467">
        <f>+I44+N44+S44</f>
        <v>-4724653.953662886</v>
      </c>
      <c r="U44" s="230">
        <v>0</v>
      </c>
      <c r="V44" s="230"/>
      <c r="W44" s="230"/>
      <c r="X44" s="469">
        <f>+T44+U44</f>
        <v>-4724653.953662886</v>
      </c>
      <c r="Y44" s="230"/>
      <c r="Z44" s="233"/>
      <c r="AA44" s="471">
        <f>+X44</f>
        <v>-4724653.953662886</v>
      </c>
      <c r="AB44" s="227"/>
      <c r="AC44" s="124"/>
      <c r="AD44" s="123"/>
      <c r="AE44" s="123"/>
    </row>
    <row r="45" spans="1:31" ht="25.5">
      <c r="A45" s="117">
        <f>ROW()</f>
        <v>45</v>
      </c>
      <c r="B45" s="446" t="s">
        <v>246</v>
      </c>
      <c r="C45" s="220"/>
      <c r="D45" s="275">
        <f>SUM(D42:D44)</f>
        <v>83350</v>
      </c>
      <c r="E45" s="219"/>
      <c r="F45" s="221">
        <f>SUM(F42:F44)</f>
        <v>136704392.63547733</v>
      </c>
      <c r="G45" s="221"/>
      <c r="H45" s="221">
        <f>SUM(H42:H44)</f>
        <v>135397917.46</v>
      </c>
      <c r="I45" s="468">
        <f>SUM(I42:I44)</f>
        <v>-3507653.669093145</v>
      </c>
      <c r="J45" s="224">
        <f>SUM(J42:J44)</f>
        <v>0</v>
      </c>
      <c r="K45" s="223">
        <f>SUM(K42:K44)</f>
        <v>0</v>
      </c>
      <c r="L45" s="223">
        <f>SUM(L42:L44)</f>
        <v>0</v>
      </c>
      <c r="M45" s="223"/>
      <c r="N45" s="225">
        <f>SUM(N42:N44)</f>
        <v>0</v>
      </c>
      <c r="O45" s="224">
        <f>SUM(O42:O44)</f>
        <v>0</v>
      </c>
      <c r="P45" s="223">
        <f>SUM(P42:P44)</f>
        <v>0</v>
      </c>
      <c r="Q45" s="223">
        <f>SUM(Q42:Q44)</f>
        <v>0</v>
      </c>
      <c r="R45" s="223"/>
      <c r="S45" s="225">
        <f>SUM(S42:S44)</f>
        <v>0</v>
      </c>
      <c r="T45" s="468">
        <f>SUM(T42:T44)</f>
        <v>-3507653.669093145</v>
      </c>
      <c r="U45" s="223">
        <f>SUM(U42:U44)</f>
        <v>0</v>
      </c>
      <c r="V45" s="223"/>
      <c r="W45" s="223"/>
      <c r="X45" s="470">
        <f>SUM(X42:X44)</f>
        <v>-3507653.669093145</v>
      </c>
      <c r="Y45" s="223"/>
      <c r="Z45" s="45"/>
      <c r="AA45" s="472">
        <f>+X45</f>
        <v>-3507653.669093145</v>
      </c>
      <c r="AB45" s="227"/>
      <c r="AC45" s="124"/>
      <c r="AD45" s="123"/>
      <c r="AE45" s="123"/>
    </row>
    <row r="46" spans="1:31" ht="10.5" customHeight="1">
      <c r="A46" s="117">
        <f>ROW()</f>
        <v>46</v>
      </c>
      <c r="B46" s="444"/>
      <c r="C46" s="220"/>
      <c r="D46" s="275"/>
      <c r="E46" s="219"/>
      <c r="F46" s="221"/>
      <c r="G46" s="222"/>
      <c r="H46" s="222"/>
      <c r="I46" s="223"/>
      <c r="J46" s="224"/>
      <c r="K46" s="223"/>
      <c r="L46" s="223"/>
      <c r="M46" s="223"/>
      <c r="N46" s="225"/>
      <c r="O46" s="224"/>
      <c r="P46" s="223"/>
      <c r="Q46" s="223"/>
      <c r="R46" s="223"/>
      <c r="S46" s="225"/>
      <c r="T46" s="223"/>
      <c r="U46" s="223"/>
      <c r="V46" s="223"/>
      <c r="W46" s="223"/>
      <c r="X46" s="225"/>
      <c r="Y46" s="223"/>
      <c r="Z46" s="45"/>
      <c r="AA46" s="226"/>
      <c r="AB46" s="234"/>
      <c r="AC46" s="124"/>
      <c r="AD46" s="123"/>
      <c r="AE46" s="123"/>
    </row>
    <row r="47" spans="1:31" ht="12.75">
      <c r="A47" s="117">
        <f>ROW()</f>
        <v>47</v>
      </c>
      <c r="B47" s="450" t="s">
        <v>137</v>
      </c>
      <c r="C47" s="220">
        <v>1</v>
      </c>
      <c r="D47" s="275">
        <v>0</v>
      </c>
      <c r="E47" s="219"/>
      <c r="F47" s="221">
        <f>+'Monthly Energy Allocators'!N77</f>
        <v>5887000</v>
      </c>
      <c r="G47" s="222"/>
      <c r="H47" s="222">
        <f>+'Monthly Energy Allocators'!N29</f>
        <v>5757000</v>
      </c>
      <c r="I47" s="223"/>
      <c r="J47" s="224"/>
      <c r="K47" s="223"/>
      <c r="L47" s="223"/>
      <c r="M47" s="223"/>
      <c r="N47" s="225"/>
      <c r="O47" s="224"/>
      <c r="P47" s="223"/>
      <c r="Q47" s="223"/>
      <c r="R47" s="223"/>
      <c r="S47" s="225"/>
      <c r="T47" s="223"/>
      <c r="U47" s="223"/>
      <c r="V47" s="223"/>
      <c r="W47" s="223"/>
      <c r="X47" s="225"/>
      <c r="Y47" s="223"/>
      <c r="Z47" s="235"/>
      <c r="AA47" s="236"/>
      <c r="AB47" s="234"/>
      <c r="AC47" s="124"/>
      <c r="AD47" s="123"/>
      <c r="AE47" s="123"/>
    </row>
    <row r="48" spans="1:31" ht="12" customHeight="1">
      <c r="A48" s="117">
        <f>ROW()</f>
        <v>48</v>
      </c>
      <c r="B48" s="450"/>
      <c r="C48" s="220"/>
      <c r="D48" s="275"/>
      <c r="E48" s="219"/>
      <c r="F48" s="228"/>
      <c r="G48" s="229"/>
      <c r="H48" s="229"/>
      <c r="I48" s="237"/>
      <c r="J48" s="238"/>
      <c r="K48" s="237"/>
      <c r="L48" s="237"/>
      <c r="M48" s="237"/>
      <c r="N48" s="232"/>
      <c r="O48" s="238"/>
      <c r="P48" s="237"/>
      <c r="Q48" s="237"/>
      <c r="R48" s="237"/>
      <c r="S48" s="232"/>
      <c r="T48" s="237"/>
      <c r="U48" s="237"/>
      <c r="V48" s="237"/>
      <c r="W48" s="237"/>
      <c r="X48" s="232"/>
      <c r="Y48" s="223"/>
      <c r="Z48" s="45"/>
      <c r="AA48" s="226"/>
      <c r="AB48" s="234"/>
      <c r="AC48" s="124"/>
      <c r="AD48" s="123"/>
      <c r="AE48" s="123"/>
    </row>
    <row r="49" spans="1:31" ht="12.75">
      <c r="A49" s="117">
        <f>ROW()</f>
        <v>49</v>
      </c>
      <c r="B49" s="156" t="s">
        <v>245</v>
      </c>
      <c r="C49" s="220"/>
      <c r="D49" s="275">
        <f>+D45+D47</f>
        <v>83350</v>
      </c>
      <c r="E49" s="219"/>
      <c r="F49" s="221">
        <f>+F45+F47</f>
        <v>142591392.63547733</v>
      </c>
      <c r="G49" s="221"/>
      <c r="H49" s="221">
        <f>+H45+H47</f>
        <v>141154917.46</v>
      </c>
      <c r="I49" s="50"/>
      <c r="J49" s="101"/>
      <c r="K49" s="45"/>
      <c r="L49" s="45"/>
      <c r="M49" s="45"/>
      <c r="N49" s="52"/>
      <c r="O49" s="101"/>
      <c r="P49" s="45"/>
      <c r="Q49" s="45"/>
      <c r="R49" s="45"/>
      <c r="S49" s="52"/>
      <c r="T49" s="50"/>
      <c r="U49" s="50"/>
      <c r="V49" s="50"/>
      <c r="W49" s="50"/>
      <c r="X49" s="232"/>
      <c r="Y49" s="223"/>
      <c r="Z49" s="45"/>
      <c r="AA49" s="226"/>
      <c r="AB49" s="234"/>
      <c r="AC49" s="124"/>
      <c r="AD49" s="123"/>
      <c r="AE49" s="123"/>
    </row>
    <row r="50" spans="1:31" ht="8.25" customHeight="1">
      <c r="A50" s="117">
        <f>ROW()</f>
        <v>50</v>
      </c>
      <c r="B50" s="450"/>
      <c r="C50" s="220"/>
      <c r="D50" s="275"/>
      <c r="E50" s="219"/>
      <c r="F50" s="221"/>
      <c r="G50" s="222"/>
      <c r="H50" s="222"/>
      <c r="I50" s="223"/>
      <c r="J50" s="224"/>
      <c r="K50" s="223"/>
      <c r="L50" s="223"/>
      <c r="M50" s="223"/>
      <c r="N50" s="225"/>
      <c r="O50" s="224"/>
      <c r="P50" s="223"/>
      <c r="Q50" s="223"/>
      <c r="R50" s="223"/>
      <c r="S50" s="225"/>
      <c r="T50" s="223"/>
      <c r="U50" s="223"/>
      <c r="V50" s="223"/>
      <c r="W50" s="223"/>
      <c r="X50" s="225"/>
      <c r="Y50" s="223"/>
      <c r="Z50" s="45"/>
      <c r="AA50" s="226"/>
      <c r="AB50" s="234"/>
      <c r="AC50" s="124"/>
      <c r="AD50" s="123"/>
      <c r="AE50" s="123"/>
    </row>
    <row r="51" spans="1:31" ht="15">
      <c r="A51" s="117">
        <f>ROW()</f>
        <v>51</v>
      </c>
      <c r="B51" s="450" t="s">
        <v>33</v>
      </c>
      <c r="C51" s="220"/>
      <c r="D51" s="276">
        <f>+D39+D49</f>
        <v>6694824</v>
      </c>
      <c r="E51" s="219"/>
      <c r="F51" s="239">
        <f>+F39+F49</f>
        <v>12163550413.64564</v>
      </c>
      <c r="G51" s="240"/>
      <c r="H51" s="241">
        <f>+H39+H49</f>
        <v>11455150792.086979</v>
      </c>
      <c r="I51" s="242">
        <f>+I39+I45</f>
        <v>509806688.92999995</v>
      </c>
      <c r="J51" s="243">
        <f>+J39+J45</f>
        <v>27271918.85</v>
      </c>
      <c r="K51" s="242">
        <f>+K39+K45</f>
        <v>14811593.143037627</v>
      </c>
      <c r="L51" s="242">
        <f>+L39+L45</f>
        <v>7255267.32481742</v>
      </c>
      <c r="M51" s="242"/>
      <c r="N51" s="244">
        <f>+'Monthly Fuel Cost Allocation'!N5</f>
        <v>49585307</v>
      </c>
      <c r="O51" s="243">
        <f>+O39+O45</f>
        <v>19352526.899999995</v>
      </c>
      <c r="P51" s="242">
        <f>+P39+P45</f>
        <v>5740467.985922003</v>
      </c>
      <c r="Q51" s="242">
        <f>+Q39+Q45</f>
        <v>2460200.5653951443</v>
      </c>
      <c r="R51" s="242"/>
      <c r="S51" s="244">
        <f>+'Monthly Fuel Cost Allocation'!N6</f>
        <v>27646467</v>
      </c>
      <c r="T51" s="245">
        <f>+T39+T45</f>
        <v>587038462.93</v>
      </c>
      <c r="U51" s="473">
        <f>+U39+U45</f>
        <v>-486275</v>
      </c>
      <c r="V51" s="473">
        <f>+V39+V45</f>
        <v>-2199999.9999999995</v>
      </c>
      <c r="W51" s="242">
        <f>+W39+W45</f>
        <v>9345127.869404014</v>
      </c>
      <c r="X51" s="244">
        <f>+X39+X45</f>
        <v>593697315.799404</v>
      </c>
      <c r="Y51" s="223"/>
      <c r="Z51" s="45"/>
      <c r="AA51" s="246">
        <f>+AA39+AA45</f>
        <v>593697315.799404</v>
      </c>
      <c r="AB51" s="227">
        <f>+AA51/H51*100</f>
        <v>5.182797909648819</v>
      </c>
      <c r="AC51" s="124"/>
      <c r="AD51" s="123"/>
      <c r="AE51" s="123"/>
    </row>
    <row r="52" spans="1:31" ht="7.5" customHeight="1">
      <c r="A52" s="117">
        <f>ROW()</f>
        <v>52</v>
      </c>
      <c r="B52" s="450"/>
      <c r="C52" s="135"/>
      <c r="D52" s="271"/>
      <c r="E52" s="150"/>
      <c r="F52" s="247"/>
      <c r="G52" s="162"/>
      <c r="H52" s="240"/>
      <c r="I52" s="20"/>
      <c r="J52" s="27"/>
      <c r="K52" s="28"/>
      <c r="L52" s="28"/>
      <c r="M52" s="28"/>
      <c r="N52" s="29"/>
      <c r="O52" s="27"/>
      <c r="P52" s="28"/>
      <c r="Q52" s="28"/>
      <c r="R52" s="28"/>
      <c r="S52" s="29"/>
      <c r="T52" s="20"/>
      <c r="U52" s="20"/>
      <c r="V52" s="20"/>
      <c r="W52" s="20"/>
      <c r="X52" s="21"/>
      <c r="Y52" s="11"/>
      <c r="Z52" s="123"/>
      <c r="AA52" s="144"/>
      <c r="AB52" s="89"/>
      <c r="AC52" s="124"/>
      <c r="AD52" s="123"/>
      <c r="AE52" s="123"/>
    </row>
    <row r="53" spans="1:31" ht="3.75" customHeight="1" thickBot="1">
      <c r="A53" s="117">
        <f>ROW()</f>
        <v>53</v>
      </c>
      <c r="B53" s="452"/>
      <c r="C53" s="163"/>
      <c r="D53" s="250"/>
      <c r="E53" s="164"/>
      <c r="F53" s="164"/>
      <c r="G53" s="164"/>
      <c r="H53" s="30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4"/>
      <c r="Y53" s="165"/>
      <c r="Z53" s="165"/>
      <c r="AA53" s="165"/>
      <c r="AB53" s="164"/>
      <c r="AC53" s="166"/>
      <c r="AD53" s="123"/>
      <c r="AE53" s="123"/>
    </row>
    <row r="54" spans="1:31" ht="12" customHeight="1" hidden="1" thickTop="1">
      <c r="A54" s="117">
        <f>ROW()</f>
        <v>54</v>
      </c>
      <c r="B54" s="453"/>
      <c r="C54" s="123"/>
      <c r="D54" s="123"/>
      <c r="E54" s="123"/>
      <c r="F54" s="123"/>
      <c r="G54" s="123"/>
      <c r="H54" s="45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</row>
    <row r="55" spans="1:31" ht="13.5" hidden="1" thickTop="1">
      <c r="A55" s="117">
        <f>ROW()</f>
        <v>55</v>
      </c>
      <c r="B55" s="441" t="s">
        <v>129</v>
      </c>
      <c r="C55" s="90"/>
      <c r="D55" s="91">
        <f>+D36+D45</f>
        <v>167661</v>
      </c>
      <c r="E55" s="90"/>
      <c r="F55" s="91">
        <f>+F36+F45</f>
        <v>305891804.70205057</v>
      </c>
      <c r="G55" s="91"/>
      <c r="H55" s="57">
        <f aca="true" t="shared" si="20" ref="H55:U55">+H36+H45</f>
        <v>302626061.46000004</v>
      </c>
      <c r="I55" s="167">
        <f t="shared" si="20"/>
        <v>2636596.8422057154</v>
      </c>
      <c r="J55" s="167">
        <f t="shared" si="20"/>
        <v>301311.6115104956</v>
      </c>
      <c r="K55" s="167">
        <f t="shared" si="20"/>
        <v>0</v>
      </c>
      <c r="L55" s="167">
        <f t="shared" si="20"/>
        <v>0</v>
      </c>
      <c r="M55" s="167">
        <f t="shared" si="20"/>
        <v>246527.68214495093</v>
      </c>
      <c r="N55" s="167">
        <f t="shared" si="20"/>
        <v>547839.2936554465</v>
      </c>
      <c r="O55" s="167">
        <f t="shared" si="20"/>
        <v>217633.61359331926</v>
      </c>
      <c r="P55" s="167">
        <f t="shared" si="20"/>
        <v>0</v>
      </c>
      <c r="Q55" s="167">
        <f t="shared" si="20"/>
        <v>0</v>
      </c>
      <c r="R55" s="167">
        <f t="shared" si="20"/>
        <v>93271.54868285112</v>
      </c>
      <c r="S55" s="167">
        <f t="shared" si="20"/>
        <v>310905.1622761704</v>
      </c>
      <c r="T55" s="167">
        <f t="shared" si="20"/>
        <v>3495341.2981373323</v>
      </c>
      <c r="U55" s="167">
        <f t="shared" si="20"/>
        <v>0</v>
      </c>
      <c r="V55" s="167"/>
      <c r="W55" s="167"/>
      <c r="X55" s="167">
        <f>+T55+U55</f>
        <v>3495341.2981373323</v>
      </c>
      <c r="Y55" s="167"/>
      <c r="Z55" s="167"/>
      <c r="AA55" s="167">
        <f>+AA36+AA45</f>
        <v>3495341.2981373323</v>
      </c>
      <c r="AB55" s="90"/>
      <c r="AC55" s="90"/>
      <c r="AD55" s="90"/>
      <c r="AE55" s="90"/>
    </row>
    <row r="56" spans="1:31" ht="13.5" hidden="1" thickTop="1">
      <c r="A56" s="117">
        <f>ROW()</f>
        <v>56</v>
      </c>
      <c r="B56" s="441"/>
      <c r="C56" s="90"/>
      <c r="D56" s="90"/>
      <c r="E56" s="90"/>
      <c r="F56" s="90"/>
      <c r="G56" s="90"/>
      <c r="I56" s="167"/>
      <c r="J56" s="90"/>
      <c r="K56" s="90"/>
      <c r="L56" s="90"/>
      <c r="M56" s="90"/>
      <c r="N56" s="167"/>
      <c r="O56" s="167"/>
      <c r="P56" s="167"/>
      <c r="Q56" s="167"/>
      <c r="R56" s="167"/>
      <c r="S56" s="167"/>
      <c r="T56" s="167"/>
      <c r="U56" s="90"/>
      <c r="V56" s="90"/>
      <c r="W56" s="90"/>
      <c r="X56" s="167"/>
      <c r="Y56" s="90"/>
      <c r="Z56" s="90"/>
      <c r="AA56" s="90"/>
      <c r="AB56" s="90"/>
      <c r="AC56" s="90"/>
      <c r="AD56" s="90"/>
      <c r="AE56" s="90"/>
    </row>
    <row r="57" spans="1:31" ht="13.5" hidden="1" thickTop="1">
      <c r="A57" s="117">
        <f>ROW()</f>
        <v>57</v>
      </c>
      <c r="B57" s="441" t="s">
        <v>140</v>
      </c>
      <c r="C57" s="90"/>
      <c r="D57" s="90"/>
      <c r="E57" s="90"/>
      <c r="F57" s="92">
        <f>+F34+F43</f>
        <v>360202439.98641086</v>
      </c>
      <c r="G57" s="92"/>
      <c r="H57" s="114">
        <f>+H34+H43</f>
        <v>356223445</v>
      </c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167">
        <f>+S51+N51</f>
        <v>77231774</v>
      </c>
      <c r="T57" s="167"/>
      <c r="U57" s="90"/>
      <c r="V57" s="90"/>
      <c r="W57" s="90"/>
      <c r="X57" s="167"/>
      <c r="Y57" s="90"/>
      <c r="Z57" s="90"/>
      <c r="AA57" s="90"/>
      <c r="AB57" s="90"/>
      <c r="AC57" s="90"/>
      <c r="AD57" s="90"/>
      <c r="AE57" s="90"/>
    </row>
    <row r="58" spans="1:31" ht="13.5" hidden="1" thickTop="1">
      <c r="A58" s="117">
        <f>ROW()</f>
        <v>58</v>
      </c>
      <c r="B58" s="441" t="s">
        <v>141</v>
      </c>
      <c r="C58" s="90"/>
      <c r="D58" s="92">
        <f>+D51-D47</f>
        <v>6694824</v>
      </c>
      <c r="E58" s="90"/>
      <c r="F58" s="92">
        <f>+F51-F47</f>
        <v>12157663413.64564</v>
      </c>
      <c r="G58" s="90"/>
      <c r="H58" s="114">
        <f>+H51-H47</f>
        <v>11449393792.086979</v>
      </c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ht="13.5" thickTop="1">
      <c r="A59" s="117"/>
      <c r="B59" s="441"/>
      <c r="C59" s="90"/>
      <c r="D59" s="90"/>
      <c r="E59" s="90"/>
      <c r="F59" s="90"/>
      <c r="G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ht="12.75">
      <c r="A60" s="117"/>
      <c r="B60" s="441"/>
      <c r="C60" s="90"/>
      <c r="D60" s="90"/>
      <c r="E60" s="90"/>
      <c r="F60" s="92"/>
      <c r="G60" s="90"/>
      <c r="H60" s="114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167"/>
      <c r="T60" s="167"/>
      <c r="U60" s="167"/>
      <c r="V60" s="90"/>
      <c r="W60" s="90"/>
      <c r="X60" s="167"/>
      <c r="Y60" s="90"/>
      <c r="Z60" s="90"/>
      <c r="AA60" s="90"/>
      <c r="AB60" s="90"/>
      <c r="AC60" s="90"/>
      <c r="AD60" s="90"/>
      <c r="AE60" s="90"/>
    </row>
    <row r="61" spans="1:31" ht="12.75">
      <c r="A61" s="117"/>
      <c r="B61" s="441"/>
      <c r="C61" s="90"/>
      <c r="D61" s="90"/>
      <c r="E61" s="90"/>
      <c r="F61" s="92"/>
      <c r="G61" s="90"/>
      <c r="H61" s="114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ht="12.75">
      <c r="A62" s="117"/>
      <c r="B62" s="441"/>
      <c r="C62" s="90"/>
      <c r="D62" s="90"/>
      <c r="E62" s="90"/>
      <c r="F62" s="90"/>
      <c r="G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ht="12.75">
      <c r="A63" s="117"/>
      <c r="B63" s="441"/>
      <c r="C63" s="90"/>
      <c r="D63" s="90"/>
      <c r="E63" s="90"/>
      <c r="F63" s="90"/>
      <c r="G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31" ht="12.75">
      <c r="A64" s="117"/>
      <c r="B64" s="441"/>
      <c r="C64" s="90"/>
      <c r="D64" s="90"/>
      <c r="E64" s="90"/>
      <c r="F64" s="90"/>
      <c r="G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</row>
    <row r="65" spans="1:31" ht="12.75">
      <c r="A65" s="117"/>
      <c r="B65" s="441"/>
      <c r="C65" s="90"/>
      <c r="D65" s="90"/>
      <c r="E65" s="90"/>
      <c r="F65" s="90"/>
      <c r="G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</row>
    <row r="66" spans="1:31" ht="12.75">
      <c r="A66" s="117"/>
      <c r="B66" s="441"/>
      <c r="C66" s="90"/>
      <c r="D66" s="90"/>
      <c r="E66" s="90"/>
      <c r="F66" s="90"/>
      <c r="G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</row>
    <row r="67" spans="1:31" ht="12.75">
      <c r="A67" s="117"/>
      <c r="B67" s="441"/>
      <c r="C67" s="90"/>
      <c r="D67" s="90"/>
      <c r="E67" s="90"/>
      <c r="F67" s="90"/>
      <c r="G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</row>
    <row r="68" spans="1:31" ht="12.75">
      <c r="A68" s="117"/>
      <c r="B68" s="441"/>
      <c r="C68" s="90"/>
      <c r="D68" s="90"/>
      <c r="E68" s="90"/>
      <c r="F68" s="90"/>
      <c r="G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</row>
    <row r="69" spans="1:31" ht="12.75">
      <c r="A69" s="117"/>
      <c r="B69" s="441"/>
      <c r="C69" s="90"/>
      <c r="D69" s="90"/>
      <c r="E69" s="90"/>
      <c r="F69" s="90"/>
      <c r="G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</row>
    <row r="70" spans="1:31" ht="12.75">
      <c r="A70" s="117"/>
      <c r="B70" s="441"/>
      <c r="C70" s="90"/>
      <c r="D70" s="90"/>
      <c r="E70" s="90"/>
      <c r="F70" s="90"/>
      <c r="G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</row>
    <row r="71" spans="1:31" ht="12.75">
      <c r="A71" s="117"/>
      <c r="B71" s="441"/>
      <c r="C71" s="90"/>
      <c r="D71" s="90"/>
      <c r="E71" s="90"/>
      <c r="F71" s="90"/>
      <c r="G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</row>
    <row r="72" spans="1:31" ht="12.75">
      <c r="A72" s="117"/>
      <c r="B72" s="441"/>
      <c r="C72" s="90"/>
      <c r="D72" s="90"/>
      <c r="E72" s="90"/>
      <c r="F72" s="90"/>
      <c r="G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</row>
    <row r="73" spans="1:31" ht="12.75">
      <c r="A73" s="117"/>
      <c r="B73" s="441"/>
      <c r="C73" s="90"/>
      <c r="D73" s="90"/>
      <c r="E73" s="90"/>
      <c r="F73" s="90"/>
      <c r="G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ht="12.75">
      <c r="A74" s="117"/>
      <c r="B74" s="441"/>
      <c r="C74" s="90"/>
      <c r="D74" s="90"/>
      <c r="E74" s="90"/>
      <c r="F74" s="90"/>
      <c r="G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</row>
    <row r="75" spans="1:31" ht="12.75">
      <c r="A75" s="117"/>
      <c r="B75" s="441"/>
      <c r="C75" s="90"/>
      <c r="D75" s="90"/>
      <c r="E75" s="90"/>
      <c r="F75" s="90"/>
      <c r="G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</row>
    <row r="76" spans="1:31" ht="12.75">
      <c r="A76" s="117"/>
      <c r="B76" s="441"/>
      <c r="C76" s="90"/>
      <c r="D76" s="90"/>
      <c r="E76" s="90"/>
      <c r="F76" s="90"/>
      <c r="G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 ht="12.75">
      <c r="A77" s="117"/>
      <c r="B77" s="441"/>
      <c r="C77" s="90"/>
      <c r="D77" s="90"/>
      <c r="E77" s="90"/>
      <c r="F77" s="90"/>
      <c r="G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78" spans="1:31" ht="12.75">
      <c r="A78" s="117"/>
      <c r="B78" s="441"/>
      <c r="C78" s="90"/>
      <c r="D78" s="90"/>
      <c r="E78" s="90"/>
      <c r="F78" s="90"/>
      <c r="G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 ht="12.75">
      <c r="A79" s="117"/>
      <c r="B79" s="441"/>
      <c r="C79" s="90"/>
      <c r="D79" s="90"/>
      <c r="E79" s="90"/>
      <c r="F79" s="90"/>
      <c r="G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 ht="12.75">
      <c r="A80" s="117"/>
      <c r="B80" s="441"/>
      <c r="C80" s="90"/>
      <c r="D80" s="90"/>
      <c r="E80" s="90"/>
      <c r="F80" s="90"/>
      <c r="G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1:31" ht="12.75">
      <c r="A81" s="117"/>
      <c r="B81" s="441"/>
      <c r="C81" s="90"/>
      <c r="D81" s="90"/>
      <c r="E81" s="90"/>
      <c r="F81" s="90"/>
      <c r="G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1:31" ht="12.75">
      <c r="A82" s="117"/>
      <c r="B82" s="441"/>
      <c r="C82" s="90"/>
      <c r="D82" s="90"/>
      <c r="E82" s="90"/>
      <c r="F82" s="90"/>
      <c r="G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1:31" ht="12.75">
      <c r="A83" s="117"/>
      <c r="B83" s="441"/>
      <c r="C83" s="90"/>
      <c r="D83" s="90"/>
      <c r="E83" s="90"/>
      <c r="F83" s="90"/>
      <c r="G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</row>
    <row r="84" spans="1:31" ht="12.75">
      <c r="A84" s="117"/>
      <c r="B84" s="441"/>
      <c r="C84" s="90"/>
      <c r="D84" s="90"/>
      <c r="E84" s="90"/>
      <c r="F84" s="90"/>
      <c r="G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</row>
    <row r="85" spans="1:31" ht="12.75">
      <c r="A85" s="117"/>
      <c r="B85" s="441"/>
      <c r="C85" s="90"/>
      <c r="D85" s="90"/>
      <c r="E85" s="90"/>
      <c r="F85" s="90"/>
      <c r="G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</row>
    <row r="86" spans="1:31" ht="12.75">
      <c r="A86" s="117"/>
      <c r="B86" s="441"/>
      <c r="C86" s="90"/>
      <c r="D86" s="90"/>
      <c r="E86" s="90"/>
      <c r="F86" s="90"/>
      <c r="G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</row>
    <row r="87" spans="1:31" ht="12.75">
      <c r="A87" s="117"/>
      <c r="B87" s="441"/>
      <c r="C87" s="90"/>
      <c r="D87" s="90"/>
      <c r="E87" s="90"/>
      <c r="F87" s="90"/>
      <c r="G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</row>
    <row r="88" spans="1:31" ht="12.75">
      <c r="A88" s="117"/>
      <c r="B88" s="441"/>
      <c r="C88" s="90"/>
      <c r="D88" s="90"/>
      <c r="E88" s="90"/>
      <c r="F88" s="90"/>
      <c r="G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</row>
    <row r="89" spans="1:31" ht="12.75">
      <c r="A89" s="117"/>
      <c r="B89" s="441"/>
      <c r="C89" s="90"/>
      <c r="D89" s="90"/>
      <c r="E89" s="90"/>
      <c r="F89" s="90"/>
      <c r="G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</row>
    <row r="90" spans="1:31" ht="12.75">
      <c r="A90" s="117"/>
      <c r="B90" s="441"/>
      <c r="C90" s="90"/>
      <c r="D90" s="90"/>
      <c r="E90" s="90"/>
      <c r="F90" s="90"/>
      <c r="G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</row>
    <row r="91" spans="1:31" ht="12.75">
      <c r="A91" s="117"/>
      <c r="B91" s="441"/>
      <c r="C91" s="90"/>
      <c r="D91" s="90"/>
      <c r="E91" s="90"/>
      <c r="F91" s="90"/>
      <c r="G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</row>
    <row r="92" spans="1:31" ht="12.75">
      <c r="A92" s="117"/>
      <c r="B92" s="441"/>
      <c r="C92" s="90"/>
      <c r="D92" s="90"/>
      <c r="E92" s="90"/>
      <c r="F92" s="90"/>
      <c r="G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</row>
    <row r="93" spans="1:31" ht="12.75">
      <c r="A93" s="117"/>
      <c r="B93" s="441"/>
      <c r="C93" s="90"/>
      <c r="D93" s="90"/>
      <c r="E93" s="90"/>
      <c r="F93" s="90"/>
      <c r="G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</row>
    <row r="94" spans="1:31" ht="12.75">
      <c r="A94" s="117"/>
      <c r="B94" s="441"/>
      <c r="C94" s="90"/>
      <c r="D94" s="90"/>
      <c r="E94" s="90"/>
      <c r="F94" s="90"/>
      <c r="G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</row>
    <row r="95" spans="1:31" ht="12.75">
      <c r="A95" s="117"/>
      <c r="B95" s="441"/>
      <c r="C95" s="90"/>
      <c r="D95" s="90"/>
      <c r="E95" s="90"/>
      <c r="F95" s="90"/>
      <c r="G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31" ht="12.75">
      <c r="A96" s="117"/>
      <c r="B96" s="441"/>
      <c r="C96" s="90"/>
      <c r="D96" s="90"/>
      <c r="E96" s="90"/>
      <c r="F96" s="90"/>
      <c r="G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</row>
    <row r="97" spans="1:31" ht="12.75">
      <c r="A97" s="117"/>
      <c r="B97" s="441"/>
      <c r="C97" s="90"/>
      <c r="D97" s="90"/>
      <c r="E97" s="90"/>
      <c r="F97" s="90"/>
      <c r="G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</row>
    <row r="98" spans="1:31" ht="12.75">
      <c r="A98" s="117"/>
      <c r="B98" s="441"/>
      <c r="C98" s="90"/>
      <c r="D98" s="90"/>
      <c r="E98" s="90"/>
      <c r="F98" s="90"/>
      <c r="G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</row>
    <row r="99" spans="1:31" ht="12.75">
      <c r="A99" s="117"/>
      <c r="B99" s="441"/>
      <c r="C99" s="90"/>
      <c r="D99" s="90"/>
      <c r="E99" s="90"/>
      <c r="F99" s="90"/>
      <c r="G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ht="12.75">
      <c r="A100" s="117"/>
      <c r="B100" s="441"/>
      <c r="C100" s="90"/>
      <c r="D100" s="90"/>
      <c r="E100" s="90"/>
      <c r="F100" s="90"/>
      <c r="G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ht="12.75">
      <c r="A101" s="117"/>
      <c r="B101" s="441"/>
      <c r="C101" s="90"/>
      <c r="D101" s="90"/>
      <c r="E101" s="90"/>
      <c r="F101" s="90"/>
      <c r="G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ht="12.75">
      <c r="A102" s="117"/>
      <c r="B102" s="441"/>
      <c r="C102" s="90"/>
      <c r="D102" s="90"/>
      <c r="E102" s="90"/>
      <c r="F102" s="90"/>
      <c r="G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ht="12.75">
      <c r="A103" s="117"/>
      <c r="B103" s="441"/>
      <c r="C103" s="90"/>
      <c r="D103" s="90"/>
      <c r="E103" s="90"/>
      <c r="F103" s="90"/>
      <c r="G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</row>
    <row r="104" spans="1:31" ht="12.75">
      <c r="A104" s="117"/>
      <c r="B104" s="441"/>
      <c r="C104" s="90"/>
      <c r="D104" s="90"/>
      <c r="E104" s="90"/>
      <c r="F104" s="90"/>
      <c r="G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ht="12.75">
      <c r="A105" s="117"/>
      <c r="B105" s="441"/>
      <c r="C105" s="90"/>
      <c r="D105" s="90"/>
      <c r="E105" s="90"/>
      <c r="F105" s="90"/>
      <c r="G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31" ht="12.75">
      <c r="A106" s="117"/>
      <c r="B106" s="441"/>
      <c r="C106" s="90"/>
      <c r="D106" s="90"/>
      <c r="E106" s="90"/>
      <c r="F106" s="90"/>
      <c r="G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07" spans="1:31" ht="12.75">
      <c r="A107" s="117"/>
      <c r="B107" s="441"/>
      <c r="C107" s="90"/>
      <c r="D107" s="90"/>
      <c r="E107" s="90"/>
      <c r="F107" s="90"/>
      <c r="G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</row>
    <row r="108" spans="1:31" ht="12.75">
      <c r="A108" s="117"/>
      <c r="B108" s="441"/>
      <c r="C108" s="90"/>
      <c r="D108" s="90"/>
      <c r="E108" s="90"/>
      <c r="F108" s="90"/>
      <c r="G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</row>
    <row r="109" spans="1:31" ht="12.75">
      <c r="A109" s="117"/>
      <c r="B109" s="441"/>
      <c r="C109" s="90"/>
      <c r="D109" s="90"/>
      <c r="E109" s="90"/>
      <c r="F109" s="90"/>
      <c r="G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</row>
    <row r="110" spans="1:31" ht="12.75">
      <c r="A110" s="117"/>
      <c r="B110" s="441"/>
      <c r="C110" s="90"/>
      <c r="D110" s="90"/>
      <c r="E110" s="90"/>
      <c r="F110" s="90"/>
      <c r="G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</row>
    <row r="111" spans="1:31" ht="12.75">
      <c r="A111" s="117"/>
      <c r="B111" s="441"/>
      <c r="C111" s="90"/>
      <c r="D111" s="90"/>
      <c r="E111" s="90"/>
      <c r="F111" s="90"/>
      <c r="G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</row>
  </sheetData>
  <sheetProtection/>
  <mergeCells count="29">
    <mergeCell ref="C2:AB2"/>
    <mergeCell ref="C4:AB4"/>
    <mergeCell ref="Y10:AB10"/>
    <mergeCell ref="J11:N11"/>
    <mergeCell ref="Z11:Z13"/>
    <mergeCell ref="AA11:AA13"/>
    <mergeCell ref="X11:X13"/>
    <mergeCell ref="Y11:Y13"/>
    <mergeCell ref="T11:T13"/>
    <mergeCell ref="U11:U13"/>
    <mergeCell ref="S12:S13"/>
    <mergeCell ref="AB11:AB13"/>
    <mergeCell ref="O11:S11"/>
    <mergeCell ref="C11:C13"/>
    <mergeCell ref="H11:H13"/>
    <mergeCell ref="F12:F13"/>
    <mergeCell ref="G12:G13"/>
    <mergeCell ref="J12:J13"/>
    <mergeCell ref="K12:M12"/>
    <mergeCell ref="C10:H10"/>
    <mergeCell ref="I10:X10"/>
    <mergeCell ref="N12:N13"/>
    <mergeCell ref="D11:E11"/>
    <mergeCell ref="D12:D13"/>
    <mergeCell ref="E12:E13"/>
    <mergeCell ref="F11:G11"/>
    <mergeCell ref="I11:I13"/>
    <mergeCell ref="O12:O13"/>
    <mergeCell ref="P12:R12"/>
  </mergeCells>
  <printOptions/>
  <pageMargins left="0.7" right="0.7" top="0.75" bottom="0.75" header="0.3" footer="0.3"/>
  <pageSetup horizontalDpi="600" verticalDpi="600" orientation="landscape" paperSize="17" scale="48" r:id="rId1"/>
  <headerFooter alignWithMargins="0">
    <oddFooter>&amp;CPage &amp;P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61"/>
  <sheetViews>
    <sheetView zoomScalePageLayoutView="0" workbookViewId="0" topLeftCell="A1">
      <pane xSplit="1" ySplit="10" topLeftCell="B11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D41" sqref="D41"/>
    </sheetView>
  </sheetViews>
  <sheetFormatPr defaultColWidth="9.140625" defaultRowHeight="12.75"/>
  <cols>
    <col min="1" max="1" width="22.57421875" style="0" customWidth="1"/>
    <col min="2" max="2" width="16.7109375" style="0" customWidth="1"/>
    <col min="3" max="3" width="17.7109375" style="0" bestFit="1" customWidth="1"/>
    <col min="4" max="4" width="12.8515625" style="0" bestFit="1" customWidth="1"/>
    <col min="5" max="5" width="10.57421875" style="0" bestFit="1" customWidth="1"/>
    <col min="7" max="7" width="9.7109375" style="0" bestFit="1" customWidth="1"/>
  </cols>
  <sheetData>
    <row r="1" spans="2:5" ht="12.75">
      <c r="B1" s="71" t="s">
        <v>98</v>
      </c>
      <c r="C1" s="72"/>
      <c r="D1" s="72"/>
      <c r="E1" s="73"/>
    </row>
    <row r="2" spans="2:7" ht="12.75">
      <c r="B2" s="49"/>
      <c r="C2" s="6"/>
      <c r="D2" s="6"/>
      <c r="E2" s="25"/>
      <c r="G2" s="30" t="s">
        <v>229</v>
      </c>
    </row>
    <row r="3" spans="2:7" ht="12.75">
      <c r="B3" s="49" t="s">
        <v>112</v>
      </c>
      <c r="C3" s="41" t="s">
        <v>101</v>
      </c>
      <c r="D3" s="41" t="s">
        <v>95</v>
      </c>
      <c r="E3" s="74" t="s">
        <v>97</v>
      </c>
      <c r="G3" s="185">
        <v>0.9789134669261093</v>
      </c>
    </row>
    <row r="4" spans="2:5" ht="12.75">
      <c r="B4" s="75" t="s">
        <v>96</v>
      </c>
      <c r="C4" s="2"/>
      <c r="D4" s="2"/>
      <c r="E4" s="25"/>
    </row>
    <row r="5" spans="2:7" ht="12.75">
      <c r="B5" s="76" t="s">
        <v>113</v>
      </c>
      <c r="C5" s="47">
        <f>+E22</f>
        <v>1.0659617696364732</v>
      </c>
      <c r="D5" s="48">
        <v>1.0659464558154377</v>
      </c>
      <c r="E5" s="77">
        <f>+D5-C5</f>
        <v>-1.5313821035478625E-05</v>
      </c>
      <c r="G5" s="185">
        <v>1.0152954213657135</v>
      </c>
    </row>
    <row r="6" spans="2:5" ht="12.75">
      <c r="B6" s="76" t="s">
        <v>152</v>
      </c>
      <c r="C6" s="47">
        <f>+E23</f>
        <v>2.6287208232105854</v>
      </c>
      <c r="D6" s="48">
        <v>2.6287208232105854</v>
      </c>
      <c r="E6" s="77">
        <f>+D6-C6</f>
        <v>0</v>
      </c>
    </row>
    <row r="7" spans="2:5" ht="12.75">
      <c r="B7" s="76" t="s">
        <v>156</v>
      </c>
      <c r="C7" s="47">
        <f>+E24</f>
        <v>1.4114388031735232</v>
      </c>
      <c r="D7" s="48">
        <v>1.4114388031735232</v>
      </c>
      <c r="E7" s="77">
        <f>+D7-C7</f>
        <v>0</v>
      </c>
    </row>
    <row r="8" spans="2:5" ht="12.75">
      <c r="B8" s="78" t="s">
        <v>196</v>
      </c>
      <c r="C8" s="79">
        <f>+'AE Calibration'!D52</f>
        <v>0.043427201899651165</v>
      </c>
      <c r="D8" s="79">
        <f>+'AE Calibration'!D59</f>
        <v>0.04061613570383801</v>
      </c>
      <c r="E8" s="80">
        <f>+D8-C8</f>
        <v>-0.0028110661958131514</v>
      </c>
    </row>
    <row r="10" spans="2:5" ht="12.75">
      <c r="B10" s="30" t="s">
        <v>104</v>
      </c>
      <c r="C10" s="30" t="s">
        <v>99</v>
      </c>
      <c r="D10" s="30" t="s">
        <v>157</v>
      </c>
      <c r="E10" s="30" t="s">
        <v>158</v>
      </c>
    </row>
    <row r="11" ht="12.75">
      <c r="A11" s="33" t="s">
        <v>89</v>
      </c>
    </row>
    <row r="12" spans="1:5" ht="12.75">
      <c r="A12" s="31" t="s">
        <v>102</v>
      </c>
      <c r="B12" s="37">
        <f>+'Monthly Fuel Cost Allocation'!N13</f>
        <v>964759000</v>
      </c>
      <c r="C12" s="37">
        <f>+'Monthly Energy Allocators'!N13</f>
        <v>929020335.81</v>
      </c>
      <c r="D12" s="44">
        <f>+C12-B12</f>
        <v>-35738664.19000006</v>
      </c>
      <c r="E12" s="43">
        <f>+C12/B12</f>
        <v>0.9629558633917901</v>
      </c>
    </row>
    <row r="13" spans="1:3" ht="12.75">
      <c r="A13" s="31" t="s">
        <v>93</v>
      </c>
      <c r="B13" s="38">
        <f>+'Monthly Fuel Cost Allocation'!N14</f>
        <v>74651000</v>
      </c>
      <c r="C13" s="38"/>
    </row>
    <row r="14" spans="1:3" ht="12.75">
      <c r="A14" s="31"/>
      <c r="B14" s="38"/>
      <c r="C14" s="38"/>
    </row>
    <row r="15" spans="1:7" ht="12.75">
      <c r="A15" s="31" t="s">
        <v>90</v>
      </c>
      <c r="B15" s="38">
        <f>+'Monthly Fuel Cost Allocation'!N16</f>
        <v>39909374.79083476</v>
      </c>
      <c r="C15" s="38">
        <f>+'Monthly Fuel Cost Allocation'!N105</f>
        <v>40628531.082155816</v>
      </c>
      <c r="D15" s="38">
        <f aca="true" t="shared" si="0" ref="D15:D21">+C15-B15</f>
        <v>719156.2913210541</v>
      </c>
      <c r="E15" s="43">
        <f>+C15/B15</f>
        <v>1.0180197333355923</v>
      </c>
      <c r="F15" s="70">
        <f aca="true" t="shared" si="1" ref="F15:G19">+B15/B$19</f>
        <v>0.9365426022510775</v>
      </c>
      <c r="G15" s="70">
        <f t="shared" si="1"/>
        <v>0.8627935931772818</v>
      </c>
    </row>
    <row r="16" spans="1:7" ht="12.75">
      <c r="A16" s="31" t="s">
        <v>152</v>
      </c>
      <c r="B16" s="38">
        <f>+'Monthly Fuel Cost Allocation'!N17</f>
        <v>1492964</v>
      </c>
      <c r="C16" s="38">
        <f>+'Fuels Costs before Interest'!N25</f>
        <v>3779202.6716698967</v>
      </c>
      <c r="D16" s="38">
        <f t="shared" si="0"/>
        <v>2286238.6716698967</v>
      </c>
      <c r="E16" s="43">
        <f aca="true" t="shared" si="2" ref="E16:E21">+C16/B16</f>
        <v>2.531342129930726</v>
      </c>
      <c r="F16" s="70">
        <f t="shared" si="1"/>
        <v>0.03503498606418364</v>
      </c>
      <c r="G16" s="70">
        <f t="shared" si="1"/>
        <v>0.08025571601005657</v>
      </c>
    </row>
    <row r="17" spans="1:7" ht="12.75">
      <c r="A17" s="31" t="s">
        <v>155</v>
      </c>
      <c r="B17" s="38">
        <f>+'Monthly Fuel Cost Allocation'!N18</f>
        <v>1578085</v>
      </c>
      <c r="C17" s="38">
        <f>+'Fuels Costs before Interest'!S25</f>
        <v>2144859.3901941176</v>
      </c>
      <c r="D17" s="38">
        <f t="shared" si="0"/>
        <v>566774.3901941176</v>
      </c>
      <c r="E17" s="43">
        <f t="shared" si="2"/>
        <v>1.359153271334635</v>
      </c>
      <c r="F17" s="70">
        <f t="shared" si="1"/>
        <v>0.03703249775821603</v>
      </c>
      <c r="G17" s="70">
        <f t="shared" si="1"/>
        <v>0.04554855641675889</v>
      </c>
    </row>
    <row r="18" spans="1:7" ht="12.75">
      <c r="A18" s="31" t="s">
        <v>91</v>
      </c>
      <c r="B18" s="38">
        <f>+'Monthly Fuel Cost Allocation'!N19</f>
        <v>-366906.055594074</v>
      </c>
      <c r="C18" s="38">
        <f>+'Fuels Costs before Interest'!U25</f>
        <v>-39209.643027398124</v>
      </c>
      <c r="D18" s="38">
        <f t="shared" si="0"/>
        <v>327696.4125666759</v>
      </c>
      <c r="E18" s="43">
        <f t="shared" si="2"/>
        <v>0.10686561976719636</v>
      </c>
      <c r="F18" s="70">
        <f t="shared" si="1"/>
        <v>-0.008610086073477305</v>
      </c>
      <c r="G18" s="70">
        <f t="shared" si="1"/>
        <v>-0.0008326618731649285</v>
      </c>
    </row>
    <row r="19" spans="1:7" ht="25.5">
      <c r="A19" s="31" t="s">
        <v>105</v>
      </c>
      <c r="B19" s="38">
        <f>+'Monthly Fuel Cost Allocation'!N20</f>
        <v>42613517.73524069</v>
      </c>
      <c r="C19" s="38">
        <f>+'Fuels Costs before Interest'!X25</f>
        <v>47089514.1125691</v>
      </c>
      <c r="D19" s="38">
        <f t="shared" si="0"/>
        <v>4475996.377328411</v>
      </c>
      <c r="E19" s="43">
        <f t="shared" si="2"/>
        <v>1.105037007391362</v>
      </c>
      <c r="F19" s="70">
        <f t="shared" si="1"/>
        <v>1</v>
      </c>
      <c r="G19" s="70">
        <f t="shared" si="1"/>
        <v>1</v>
      </c>
    </row>
    <row r="20" spans="1:5" ht="12.75">
      <c r="A20" s="31"/>
      <c r="B20" s="39">
        <f>+'Monthly Fuel Cost Allocation'!N21</f>
        <v>0</v>
      </c>
      <c r="C20" s="39"/>
      <c r="D20" s="39">
        <f t="shared" si="0"/>
        <v>0</v>
      </c>
      <c r="E20" s="43"/>
    </row>
    <row r="21" spans="1:5" ht="25.5">
      <c r="A21" s="31" t="s">
        <v>106</v>
      </c>
      <c r="B21" s="40">
        <f>+B15+B18</f>
        <v>39542468.73524069</v>
      </c>
      <c r="C21" s="40">
        <f>+C15+C18</f>
        <v>40589321.43912842</v>
      </c>
      <c r="D21" s="40">
        <f t="shared" si="0"/>
        <v>1046852.7038877308</v>
      </c>
      <c r="E21" s="43">
        <f t="shared" si="2"/>
        <v>1.0264741362229304</v>
      </c>
    </row>
    <row r="22" spans="1:5" ht="12.75">
      <c r="A22" s="31" t="s">
        <v>107</v>
      </c>
      <c r="B22" s="59">
        <f>+B21/B12</f>
        <v>0.04098688764265551</v>
      </c>
      <c r="C22" s="59">
        <f>+C21/C12</f>
        <v>0.043690455283456366</v>
      </c>
      <c r="D22" s="59"/>
      <c r="E22" s="60">
        <f>+C22/B22</f>
        <v>1.0659617696364732</v>
      </c>
    </row>
    <row r="23" spans="1:5" ht="12.75">
      <c r="A23" s="31" t="s">
        <v>153</v>
      </c>
      <c r="B23" s="59">
        <f>+B16/B12</f>
        <v>0.0015474994273181179</v>
      </c>
      <c r="C23" s="59">
        <f>+C16/C12</f>
        <v>0.004067943968497592</v>
      </c>
      <c r="D23" s="59"/>
      <c r="E23" s="60">
        <f>+C23/B23</f>
        <v>2.6287208232105854</v>
      </c>
    </row>
    <row r="24" spans="1:5" ht="12.75">
      <c r="A24" s="31" t="s">
        <v>154</v>
      </c>
      <c r="B24" s="67">
        <f>+B17/B12</f>
        <v>0.0016357297521971809</v>
      </c>
      <c r="C24" s="67">
        <f>+C17/C12</f>
        <v>0.002308732443756513</v>
      </c>
      <c r="D24" s="59"/>
      <c r="E24" s="60">
        <f>+C24/B24</f>
        <v>1.4114388031735232</v>
      </c>
    </row>
    <row r="25" spans="1:5" ht="12.75">
      <c r="A25" s="31" t="s">
        <v>49</v>
      </c>
      <c r="B25" s="59">
        <f>SUM(B22:B24)</f>
        <v>0.04417011682217081</v>
      </c>
      <c r="C25" s="59">
        <f>SUM(C22:C24)</f>
        <v>0.05006713169571047</v>
      </c>
      <c r="D25" s="66"/>
      <c r="E25" s="60">
        <f>+C25/B25</f>
        <v>1.133506888770095</v>
      </c>
    </row>
    <row r="26" spans="1:5" ht="12.75">
      <c r="A26" s="31" t="s">
        <v>197</v>
      </c>
      <c r="B26" s="181">
        <f>4.32908388697063/100</f>
        <v>0.0432908388697063</v>
      </c>
      <c r="C26" s="181">
        <f>'Fuels Costs before Interest'!AA25/'Fuels Costs before Interest'!H25</f>
        <v>0.049665968357749016</v>
      </c>
      <c r="D26" s="182"/>
      <c r="E26" s="183">
        <f>+C26/B26</f>
        <v>1.147262784794495</v>
      </c>
    </row>
    <row r="27" ht="12.75">
      <c r="A27" s="31"/>
    </row>
    <row r="28" ht="12.75">
      <c r="A28" s="32" t="s">
        <v>95</v>
      </c>
    </row>
    <row r="29" spans="1:5" ht="12.75">
      <c r="A29" s="31" t="s">
        <v>195</v>
      </c>
      <c r="B29" s="42">
        <f>+'Monthly Fuel Cost Allocation'!N25</f>
        <v>178920000</v>
      </c>
      <c r="C29" s="42">
        <f>+'Fuels Costs before Interest'!H34</f>
        <v>167228144</v>
      </c>
      <c r="E29" s="62">
        <f>+C29/B29</f>
        <v>0.9346531634249944</v>
      </c>
    </row>
    <row r="30" spans="1:7" ht="12.75">
      <c r="A30" s="31" t="s">
        <v>90</v>
      </c>
      <c r="B30" s="38">
        <f>+'Monthly Fuel Cost Allocation'!N28</f>
        <v>6074221.385179642</v>
      </c>
      <c r="C30" s="38">
        <f>+'Fuels Costs before Interest'!I34</f>
        <v>6144250.51129886</v>
      </c>
      <c r="D30" s="38"/>
      <c r="E30" s="62">
        <f aca="true" t="shared" si="3" ref="E30:E38">+C30/B30</f>
        <v>1.011528905793602</v>
      </c>
      <c r="F30" s="70">
        <f aca="true" t="shared" si="4" ref="F30:G33">+B30/B$33</f>
        <v>0.9307776602104829</v>
      </c>
      <c r="G30" s="70">
        <f t="shared" si="4"/>
        <v>0.8773746861235814</v>
      </c>
    </row>
    <row r="31" spans="1:7" ht="12.75">
      <c r="A31" s="31" t="s">
        <v>152</v>
      </c>
      <c r="B31" s="38">
        <f>+'Monthly Fuel Cost Allocation'!N31</f>
        <v>219616.92450636305</v>
      </c>
      <c r="C31" s="38">
        <f>+'Fuels Costs before Interest'!N34</f>
        <v>547839.2936554465</v>
      </c>
      <c r="D31" s="38"/>
      <c r="E31" s="62">
        <f t="shared" si="3"/>
        <v>2.4945221999025566</v>
      </c>
      <c r="F31" s="70">
        <f t="shared" si="4"/>
        <v>0.03365279501227949</v>
      </c>
      <c r="G31" s="70">
        <f t="shared" si="4"/>
        <v>0.0782292856440684</v>
      </c>
    </row>
    <row r="32" spans="1:7" ht="12.75">
      <c r="A32" s="31" t="s">
        <v>155</v>
      </c>
      <c r="B32" s="61">
        <f>+'Monthly Fuel Cost Allocation'!N33</f>
        <v>232125.56422781217</v>
      </c>
      <c r="C32" s="61">
        <f>+'Fuels Costs before Interest'!S34</f>
        <v>310905.1622761704</v>
      </c>
      <c r="D32" s="38"/>
      <c r="E32" s="62">
        <f t="shared" si="3"/>
        <v>1.3393835500644924</v>
      </c>
      <c r="F32" s="70">
        <f t="shared" si="4"/>
        <v>0.035569544777237554</v>
      </c>
      <c r="G32" s="70">
        <f t="shared" si="4"/>
        <v>0.044396028232350164</v>
      </c>
    </row>
    <row r="33" spans="1:7" ht="12.75">
      <c r="A33" s="31" t="s">
        <v>49</v>
      </c>
      <c r="B33" s="38">
        <f>SUM(B30:B32)</f>
        <v>6525963.873913817</v>
      </c>
      <c r="C33" s="38">
        <f>SUM(C30:C32)</f>
        <v>7002994.967230477</v>
      </c>
      <c r="D33" s="38"/>
      <c r="E33" s="62">
        <f t="shared" si="3"/>
        <v>1.0730974155746544</v>
      </c>
      <c r="F33" s="70">
        <f t="shared" si="4"/>
        <v>1</v>
      </c>
      <c r="G33" s="70">
        <f t="shared" si="4"/>
        <v>1</v>
      </c>
    </row>
    <row r="34" spans="1:7" ht="12.75">
      <c r="A34" s="31" t="s">
        <v>107</v>
      </c>
      <c r="B34" s="62">
        <f aca="true" t="shared" si="5" ref="B34:C36">+B30/B$29*100</f>
        <v>3.3949370585622853</v>
      </c>
      <c r="C34" s="62">
        <f t="shared" si="5"/>
        <v>3.6741725192494274</v>
      </c>
      <c r="E34" s="64">
        <f t="shared" si="3"/>
        <v>1.0822505560104243</v>
      </c>
      <c r="F34" s="70"/>
      <c r="G34" s="70"/>
    </row>
    <row r="35" spans="1:5" ht="12.75">
      <c r="A35" s="31" t="s">
        <v>153</v>
      </c>
      <c r="B35" s="62">
        <f t="shared" si="5"/>
        <v>0.12274587777015597</v>
      </c>
      <c r="C35" s="62">
        <f t="shared" si="5"/>
        <v>0.32759993656058667</v>
      </c>
      <c r="E35" s="64">
        <f t="shared" si="3"/>
        <v>2.6689282158544168</v>
      </c>
    </row>
    <row r="36" spans="1:5" ht="15">
      <c r="A36" s="31" t="s">
        <v>154</v>
      </c>
      <c r="B36" s="63">
        <f t="shared" si="5"/>
        <v>0.12973706920847988</v>
      </c>
      <c r="C36" s="63">
        <f t="shared" si="5"/>
        <v>0.18591676905543505</v>
      </c>
      <c r="E36" s="64">
        <f t="shared" si="3"/>
        <v>1.43302735439998</v>
      </c>
    </row>
    <row r="37" spans="1:5" ht="12.75">
      <c r="A37" s="31" t="s">
        <v>49</v>
      </c>
      <c r="B37" s="184">
        <f>SUM(B34:B36)</f>
        <v>3.647420005540921</v>
      </c>
      <c r="C37" s="184">
        <f>SUM(C34:C36)</f>
        <v>4.18768922486545</v>
      </c>
      <c r="D37" s="182"/>
      <c r="E37" s="181">
        <f t="shared" si="3"/>
        <v>1.148123665084851</v>
      </c>
    </row>
    <row r="38" spans="2:5" ht="12.75">
      <c r="B38" s="69">
        <f>+B33/B29*100</f>
        <v>3.647420005540922</v>
      </c>
      <c r="C38" s="69">
        <f>+C33/C29*100</f>
        <v>4.18768922486545</v>
      </c>
      <c r="E38" s="65">
        <f t="shared" si="3"/>
        <v>1.1481236650848508</v>
      </c>
    </row>
    <row r="40" spans="1:3" ht="26.25">
      <c r="A40" s="107" t="s">
        <v>8</v>
      </c>
      <c r="B40" s="264" t="s">
        <v>261</v>
      </c>
      <c r="C40" t="s">
        <v>262</v>
      </c>
    </row>
    <row r="41" ht="12.75">
      <c r="A41" s="108"/>
    </row>
    <row r="42" ht="12.75">
      <c r="A42" s="109" t="s">
        <v>239</v>
      </c>
    </row>
    <row r="43" ht="12.75">
      <c r="A43" s="18" t="s">
        <v>11</v>
      </c>
    </row>
    <row r="44" ht="12.75">
      <c r="A44" s="18" t="s">
        <v>12</v>
      </c>
    </row>
    <row r="45" spans="1:4" ht="14.25">
      <c r="A45" s="18" t="s">
        <v>23</v>
      </c>
      <c r="B45" s="69">
        <v>4.73820156521276</v>
      </c>
      <c r="C45">
        <f>+'AA Calculation'!V16</f>
        <v>0.28</v>
      </c>
      <c r="D45" s="265">
        <f>+C45/B45</f>
        <v>0.059094151261044364</v>
      </c>
    </row>
    <row r="46" spans="1:4" ht="12.75">
      <c r="A46" s="18"/>
      <c r="B46" s="69"/>
      <c r="D46" s="266"/>
    </row>
    <row r="47" spans="1:4" ht="12.75">
      <c r="A47" s="18" t="s">
        <v>13</v>
      </c>
      <c r="B47" s="69">
        <v>4.874684497760596</v>
      </c>
      <c r="C47">
        <f>+'AA Calculation'!V18</f>
        <v>0.268</v>
      </c>
      <c r="D47" s="265">
        <f aca="true" t="shared" si="6" ref="D47:D59">+C47/B47</f>
        <v>0.054977917057630665</v>
      </c>
    </row>
    <row r="48" spans="1:4" ht="12.75">
      <c r="A48" s="18" t="s">
        <v>14</v>
      </c>
      <c r="B48" s="69">
        <v>4.899861253505914</v>
      </c>
      <c r="C48">
        <f>+'AA Calculation'!V19</f>
        <v>0.25</v>
      </c>
      <c r="D48" s="265">
        <f t="shared" si="6"/>
        <v>0.05102185287820585</v>
      </c>
    </row>
    <row r="49" spans="1:4" ht="12.75">
      <c r="A49" s="18" t="s">
        <v>15</v>
      </c>
      <c r="B49" s="69">
        <v>4.461498966338281</v>
      </c>
      <c r="C49">
        <f>+'AA Calculation'!V20</f>
        <v>0.198</v>
      </c>
      <c r="D49" s="265">
        <f t="shared" si="6"/>
        <v>0.04437970321048981</v>
      </c>
    </row>
    <row r="50" spans="1:4" ht="12.75">
      <c r="A50" s="18" t="s">
        <v>16</v>
      </c>
      <c r="B50" s="69">
        <v>4.630752477781627</v>
      </c>
      <c r="C50">
        <f>+'AA Calculation'!V21</f>
        <v>0.23</v>
      </c>
      <c r="D50" s="265">
        <f t="shared" si="6"/>
        <v>0.049667953772856814</v>
      </c>
    </row>
    <row r="51" spans="1:4" ht="12.75">
      <c r="A51" s="18" t="s">
        <v>17</v>
      </c>
      <c r="B51" s="69">
        <v>4.558119151563102</v>
      </c>
      <c r="C51">
        <f>+'AA Calculation'!V22</f>
        <v>0.215</v>
      </c>
      <c r="D51" s="265">
        <f t="shared" si="6"/>
        <v>0.04716857827779045</v>
      </c>
    </row>
    <row r="52" spans="1:4" ht="12.75">
      <c r="A52" s="267" t="s">
        <v>18</v>
      </c>
      <c r="B52" s="268">
        <v>4.329083886970626</v>
      </c>
      <c r="C52" s="66">
        <f>+'AA Calculation'!V23</f>
        <v>0.188</v>
      </c>
      <c r="D52" s="270">
        <f t="shared" si="6"/>
        <v>0.043427201899651165</v>
      </c>
    </row>
    <row r="53" spans="1:4" ht="12.75">
      <c r="A53" s="18" t="s">
        <v>42</v>
      </c>
      <c r="B53" s="69">
        <v>3.951962645503281</v>
      </c>
      <c r="C53">
        <f>+'AA Calculation'!V24</f>
        <v>0.225</v>
      </c>
      <c r="D53" s="265">
        <f t="shared" si="6"/>
        <v>0.05693373652102077</v>
      </c>
    </row>
    <row r="54" spans="1:4" ht="12.75">
      <c r="A54" s="18" t="s">
        <v>19</v>
      </c>
      <c r="B54" s="69">
        <v>4.4808072074320995</v>
      </c>
      <c r="C54">
        <f>+'AA Calculation'!V25</f>
        <v>0.23</v>
      </c>
      <c r="D54" s="265">
        <f t="shared" si="6"/>
        <v>0.05133003705638352</v>
      </c>
    </row>
    <row r="55" spans="1:4" ht="14.25">
      <c r="A55" s="18" t="s">
        <v>26</v>
      </c>
      <c r="B55" s="69">
        <v>4.7542317704389285</v>
      </c>
      <c r="C55">
        <f>+'AA Calculation'!V26</f>
        <v>0.222</v>
      </c>
      <c r="D55" s="265">
        <f t="shared" si="6"/>
        <v>0.046695241359573876</v>
      </c>
    </row>
    <row r="56" spans="1:4" ht="12.75">
      <c r="A56" s="19" t="s">
        <v>238</v>
      </c>
      <c r="B56" s="69"/>
      <c r="D56" s="265"/>
    </row>
    <row r="57" spans="1:4" ht="12.75">
      <c r="A57" s="18"/>
      <c r="B57" s="69"/>
      <c r="D57" s="265"/>
    </row>
    <row r="58" spans="1:4" ht="12.75">
      <c r="A58" s="19"/>
      <c r="B58" s="69"/>
      <c r="D58" s="265"/>
    </row>
    <row r="59" spans="1:4" ht="12.75">
      <c r="A59" s="269" t="s">
        <v>108</v>
      </c>
      <c r="B59" s="268">
        <v>3.64387200887786</v>
      </c>
      <c r="C59" s="66">
        <f>+'AA Calculation'!V29</f>
        <v>0.148</v>
      </c>
      <c r="D59" s="270">
        <f t="shared" si="6"/>
        <v>0.04061613570383801</v>
      </c>
    </row>
    <row r="60" ht="12.75">
      <c r="A60" s="18"/>
    </row>
    <row r="61" ht="12.75">
      <c r="A6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09"/>
  <sheetViews>
    <sheetView view="pageBreakPreview" zoomScale="60" zoomScalePageLayoutView="0" workbookViewId="0" topLeftCell="A1">
      <pane xSplit="1" ySplit="3" topLeftCell="B8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26.421875" style="50" customWidth="1"/>
    <col min="2" max="2" width="17.8515625" style="50" customWidth="1"/>
    <col min="3" max="3" width="16.57421875" style="50" customWidth="1"/>
    <col min="4" max="4" width="16.28125" style="50" customWidth="1"/>
    <col min="5" max="5" width="16.8515625" style="50" customWidth="1"/>
    <col min="6" max="6" width="17.00390625" style="50" customWidth="1"/>
    <col min="7" max="7" width="16.8515625" style="50" customWidth="1"/>
    <col min="8" max="8" width="17.7109375" style="50" customWidth="1"/>
    <col min="9" max="9" width="17.421875" style="50" customWidth="1"/>
    <col min="10" max="10" width="15.8515625" style="50" customWidth="1"/>
    <col min="11" max="11" width="15.57421875" style="50" customWidth="1"/>
    <col min="12" max="13" width="16.140625" style="50" customWidth="1"/>
    <col min="14" max="14" width="19.8515625" style="50" customWidth="1"/>
    <col min="15" max="16384" width="9.140625" style="50" customWidth="1"/>
  </cols>
  <sheetData>
    <row r="1" ht="12.75">
      <c r="A1" s="187"/>
    </row>
    <row r="2" s="344" customFormat="1" ht="12.75"/>
    <row r="3" spans="1:20" s="344" customFormat="1" ht="12.75">
      <c r="A3" s="454"/>
      <c r="B3" s="455">
        <v>40179</v>
      </c>
      <c r="C3" s="455">
        <v>40210</v>
      </c>
      <c r="D3" s="455">
        <v>40238</v>
      </c>
      <c r="E3" s="455">
        <v>40269</v>
      </c>
      <c r="F3" s="455">
        <v>40299</v>
      </c>
      <c r="G3" s="455">
        <v>40330</v>
      </c>
      <c r="H3" s="455">
        <v>40360</v>
      </c>
      <c r="I3" s="455">
        <v>40391</v>
      </c>
      <c r="J3" s="455">
        <v>40422</v>
      </c>
      <c r="K3" s="455">
        <v>40452</v>
      </c>
      <c r="L3" s="455">
        <v>40483</v>
      </c>
      <c r="M3" s="455">
        <v>40513</v>
      </c>
      <c r="N3" s="456" t="s">
        <v>49</v>
      </c>
      <c r="O3" s="457"/>
      <c r="P3" s="457"/>
      <c r="Q3" s="457"/>
      <c r="R3" s="457"/>
      <c r="S3" s="457"/>
      <c r="T3" s="457"/>
    </row>
    <row r="4" spans="1:20" ht="25.5">
      <c r="A4" s="191" t="s">
        <v>253</v>
      </c>
      <c r="B4" s="192">
        <f>+'Data Inputs - 2010'!C4</f>
        <v>61889407</v>
      </c>
      <c r="C4" s="192">
        <f>+'Data Inputs - 2010'!D4</f>
        <v>57762623</v>
      </c>
      <c r="D4" s="192">
        <f>+'Data Inputs - 2010'!E4</f>
        <v>61126630.99999999</v>
      </c>
      <c r="E4" s="192">
        <f>+'Data Inputs - 2010'!F4</f>
        <v>44691938</v>
      </c>
      <c r="F4" s="192">
        <f>+'Data Inputs - 2010'!G4</f>
        <v>42636159</v>
      </c>
      <c r="G4" s="192">
        <f>+'Data Inputs - 2010'!H4</f>
        <v>37019666.93</v>
      </c>
      <c r="H4" s="192">
        <f>+'Data Inputs - 2010'!I4</f>
        <v>44372201</v>
      </c>
      <c r="I4" s="192">
        <f>+'Data Inputs - 2010'!J4</f>
        <v>47455101</v>
      </c>
      <c r="J4" s="192">
        <f>+'Data Inputs - 2010'!K4</f>
        <v>43140173.00000001</v>
      </c>
      <c r="K4" s="192">
        <f>+'Data Inputs - 2010'!L4</f>
        <v>42786865.99999999</v>
      </c>
      <c r="L4" s="192">
        <f>+'Data Inputs - 2010'!M4</f>
        <v>44802451.999999985</v>
      </c>
      <c r="M4" s="192">
        <f>+'Data Inputs - 2010'!N4</f>
        <v>59355245</v>
      </c>
      <c r="N4" s="193">
        <f aca="true" t="shared" si="0" ref="N4:N9">SUM(B4:M4)</f>
        <v>587038462.9300001</v>
      </c>
      <c r="O4" s="190"/>
      <c r="P4" s="190"/>
      <c r="Q4" s="190"/>
      <c r="R4" s="190"/>
      <c r="S4" s="190"/>
      <c r="T4" s="190"/>
    </row>
    <row r="5" spans="1:20" ht="12.75">
      <c r="A5" s="191" t="s">
        <v>142</v>
      </c>
      <c r="B5" s="192">
        <f>+'Data Inputs - 2010'!C5</f>
        <v>3812809</v>
      </c>
      <c r="C5" s="192">
        <f>+'Data Inputs - 2010'!D5</f>
        <v>5717618</v>
      </c>
      <c r="D5" s="192">
        <f>+'Data Inputs - 2010'!E5</f>
        <v>3094571</v>
      </c>
      <c r="E5" s="192">
        <f>+'Data Inputs - 2010'!F5</f>
        <v>6938322</v>
      </c>
      <c r="F5" s="192">
        <f>+'Data Inputs - 2010'!G5</f>
        <v>1958908</v>
      </c>
      <c r="G5" s="192">
        <f>+'Data Inputs - 2010'!H5</f>
        <v>2266977</v>
      </c>
      <c r="H5" s="192">
        <f>+'Data Inputs - 2010'!I5</f>
        <v>2125306</v>
      </c>
      <c r="I5" s="192">
        <f>+'Data Inputs - 2010'!J5</f>
        <v>2917073</v>
      </c>
      <c r="J5" s="192">
        <f>+'Data Inputs - 2010'!K5</f>
        <v>5727637</v>
      </c>
      <c r="K5" s="192">
        <f>+'Data Inputs - 2010'!L5</f>
        <v>2525810</v>
      </c>
      <c r="L5" s="192">
        <f>+'Data Inputs - 2010'!M5</f>
        <v>3553651</v>
      </c>
      <c r="M5" s="192">
        <f>+'Data Inputs - 2010'!N5</f>
        <v>8946625</v>
      </c>
      <c r="N5" s="193">
        <f t="shared" si="0"/>
        <v>49585307</v>
      </c>
      <c r="O5" s="190"/>
      <c r="P5" s="190"/>
      <c r="Q5" s="190"/>
      <c r="R5" s="190"/>
      <c r="S5" s="190"/>
      <c r="T5" s="190"/>
    </row>
    <row r="6" spans="1:20" ht="12.75">
      <c r="A6" s="191" t="s">
        <v>143</v>
      </c>
      <c r="B6" s="192">
        <f>+'Data Inputs - 2010'!C6</f>
        <v>1384283</v>
      </c>
      <c r="C6" s="192">
        <f>+'Data Inputs - 2010'!D6</f>
        <v>1252750</v>
      </c>
      <c r="D6" s="192">
        <f>+'Data Inputs - 2010'!E6</f>
        <v>2193107</v>
      </c>
      <c r="E6" s="192">
        <f>+'Data Inputs - 2010'!F6</f>
        <v>1771439</v>
      </c>
      <c r="F6" s="192">
        <f>+'Data Inputs - 2010'!G6</f>
        <v>2567339</v>
      </c>
      <c r="G6" s="192">
        <f>+'Data Inputs - 2010'!H6</f>
        <v>1986579</v>
      </c>
      <c r="H6" s="192">
        <f>+'Data Inputs - 2010'!I6</f>
        <v>2043955</v>
      </c>
      <c r="I6" s="192">
        <f>+'Data Inputs - 2010'!J6</f>
        <v>850870</v>
      </c>
      <c r="J6" s="192">
        <f>+'Data Inputs - 2010'!K6</f>
        <v>1632437</v>
      </c>
      <c r="K6" s="192">
        <f>+'Data Inputs - 2010'!L6</f>
        <v>4139260</v>
      </c>
      <c r="L6" s="192">
        <f>+'Data Inputs - 2010'!M6</f>
        <v>2855938</v>
      </c>
      <c r="M6" s="192">
        <f>+'Data Inputs - 2010'!N6</f>
        <v>4968510</v>
      </c>
      <c r="N6" s="193">
        <f t="shared" si="0"/>
        <v>27646467</v>
      </c>
      <c r="O6" s="190"/>
      <c r="P6" s="190"/>
      <c r="Q6" s="190"/>
      <c r="R6" s="190"/>
      <c r="S6" s="190"/>
      <c r="T6" s="190"/>
    </row>
    <row r="7" spans="1:20" ht="25.5">
      <c r="A7" s="191" t="s">
        <v>50</v>
      </c>
      <c r="B7" s="194">
        <f>+B4-B5-B6</f>
        <v>56692315</v>
      </c>
      <c r="C7" s="194">
        <f aca="true" t="shared" si="1" ref="C7:L7">+C4-C5-C6</f>
        <v>50792255</v>
      </c>
      <c r="D7" s="194">
        <f t="shared" si="1"/>
        <v>55838952.99999999</v>
      </c>
      <c r="E7" s="194">
        <f t="shared" si="1"/>
        <v>35982177</v>
      </c>
      <c r="F7" s="194">
        <f t="shared" si="1"/>
        <v>38109912</v>
      </c>
      <c r="G7" s="194">
        <f t="shared" si="1"/>
        <v>32766110.93</v>
      </c>
      <c r="H7" s="194">
        <f t="shared" si="1"/>
        <v>40202940</v>
      </c>
      <c r="I7" s="194">
        <f t="shared" si="1"/>
        <v>43687158</v>
      </c>
      <c r="J7" s="194">
        <f t="shared" si="1"/>
        <v>35780099.00000001</v>
      </c>
      <c r="K7" s="194">
        <f t="shared" si="1"/>
        <v>36121795.99999999</v>
      </c>
      <c r="L7" s="194">
        <f t="shared" si="1"/>
        <v>38392862.999999985</v>
      </c>
      <c r="M7" s="194">
        <f>+M4-M5-M6</f>
        <v>45440110</v>
      </c>
      <c r="N7" s="193">
        <f t="shared" si="0"/>
        <v>509806688.93</v>
      </c>
      <c r="O7" s="190"/>
      <c r="P7" s="190"/>
      <c r="Q7" s="190"/>
      <c r="R7" s="190"/>
      <c r="S7" s="190"/>
      <c r="T7" s="190"/>
    </row>
    <row r="8" spans="1:20" ht="12.75">
      <c r="A8" s="191" t="s">
        <v>31</v>
      </c>
      <c r="B8" s="194">
        <f>+'Data Inputs - 2010'!C7</f>
        <v>68146</v>
      </c>
      <c r="C8" s="194">
        <f>+'Data Inputs - 2010'!D7</f>
        <v>0</v>
      </c>
      <c r="D8" s="194">
        <f>+'Data Inputs - 2010'!E7</f>
        <v>2361</v>
      </c>
      <c r="E8" s="194">
        <f>+'Data Inputs - 2010'!F7</f>
        <v>0</v>
      </c>
      <c r="F8" s="194">
        <f>+'Data Inputs - 2010'!G7</f>
        <v>25649</v>
      </c>
      <c r="G8" s="194">
        <f>+'Data Inputs - 2010'!H7</f>
        <v>23959</v>
      </c>
      <c r="H8" s="194">
        <f>+'Data Inputs - 2010'!I7</f>
        <v>123733</v>
      </c>
      <c r="I8" s="194">
        <f>+'Data Inputs - 2010'!J7</f>
        <v>33872</v>
      </c>
      <c r="J8" s="194">
        <f>+'Data Inputs - 2010'!K7</f>
        <v>291</v>
      </c>
      <c r="K8" s="194">
        <f>+'Data Inputs - 2010'!L7</f>
        <v>10169</v>
      </c>
      <c r="L8" s="194">
        <f>+'Data Inputs - 2010'!M7</f>
        <v>8474</v>
      </c>
      <c r="M8" s="194">
        <f>+'Data Inputs - 2010'!N7</f>
        <v>189621</v>
      </c>
      <c r="N8" s="193">
        <f t="shared" si="0"/>
        <v>486275</v>
      </c>
      <c r="O8" s="190"/>
      <c r="P8" s="190"/>
      <c r="Q8" s="190"/>
      <c r="R8" s="190"/>
      <c r="S8" s="190"/>
      <c r="T8" s="190"/>
    </row>
    <row r="9" spans="1:20" ht="12.75">
      <c r="A9" s="191" t="s">
        <v>132</v>
      </c>
      <c r="B9" s="195">
        <f>+'Data Inputs - 2010'!C46</f>
        <v>1263000</v>
      </c>
      <c r="C9" s="195">
        <f>+'Data Inputs - 2010'!D46</f>
        <v>0</v>
      </c>
      <c r="D9" s="195">
        <f>+'Data Inputs - 2010'!E46</f>
        <v>92000</v>
      </c>
      <c r="E9" s="195">
        <f>+'Data Inputs - 2010'!F46</f>
        <v>0</v>
      </c>
      <c r="F9" s="195">
        <f>+'Data Inputs - 2010'!G46</f>
        <v>184000</v>
      </c>
      <c r="G9" s="195">
        <f>+'Data Inputs - 2010'!H46</f>
        <v>341000</v>
      </c>
      <c r="H9" s="195">
        <f>+'Data Inputs - 2010'!I46</f>
        <v>1009000</v>
      </c>
      <c r="I9" s="195">
        <f>+'Data Inputs - 2010'!J46</f>
        <v>236000</v>
      </c>
      <c r="J9" s="195">
        <f>+'Data Inputs - 2010'!K46</f>
        <v>0</v>
      </c>
      <c r="K9" s="195">
        <f>+'Data Inputs - 2010'!L46</f>
        <v>300000</v>
      </c>
      <c r="L9" s="195">
        <f>+'Data Inputs - 2010'!M46</f>
        <v>278000</v>
      </c>
      <c r="M9" s="195">
        <f>+'Data Inputs - 2010'!N46</f>
        <v>2054000</v>
      </c>
      <c r="N9" s="196">
        <f t="shared" si="0"/>
        <v>5757000</v>
      </c>
      <c r="O9" s="190"/>
      <c r="P9" s="190"/>
      <c r="Q9" s="190"/>
      <c r="R9" s="190"/>
      <c r="S9" s="190"/>
      <c r="T9" s="190"/>
    </row>
    <row r="10" spans="1:20" ht="12.75">
      <c r="A10" s="197"/>
      <c r="B10" s="194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3"/>
      <c r="O10" s="190"/>
      <c r="P10" s="190"/>
      <c r="Q10" s="190"/>
      <c r="R10" s="190"/>
      <c r="S10" s="190"/>
      <c r="T10" s="190"/>
    </row>
    <row r="11" spans="1:20" ht="31.5">
      <c r="A11" s="199" t="s">
        <v>159</v>
      </c>
      <c r="B11" s="194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200"/>
      <c r="O11" s="190"/>
      <c r="P11" s="190"/>
      <c r="Q11" s="190"/>
      <c r="R11" s="190"/>
      <c r="S11" s="190"/>
      <c r="T11" s="190"/>
    </row>
    <row r="12" spans="1:20" ht="12.75">
      <c r="A12" s="201" t="s">
        <v>89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3"/>
      <c r="O12" s="190"/>
      <c r="P12" s="190"/>
      <c r="Q12" s="190"/>
      <c r="R12" s="190"/>
      <c r="S12" s="190"/>
      <c r="T12" s="190"/>
    </row>
    <row r="13" spans="1:20" ht="12.75">
      <c r="A13" s="191" t="s">
        <v>102</v>
      </c>
      <c r="B13" s="198">
        <v>79526000</v>
      </c>
      <c r="C13" s="198">
        <v>74779000</v>
      </c>
      <c r="D13" s="198">
        <v>76618000</v>
      </c>
      <c r="E13" s="198">
        <v>76465000</v>
      </c>
      <c r="F13" s="198">
        <v>81566000</v>
      </c>
      <c r="G13" s="198">
        <v>81626000</v>
      </c>
      <c r="H13" s="198">
        <v>82619000</v>
      </c>
      <c r="I13" s="198">
        <v>88768000</v>
      </c>
      <c r="J13" s="198">
        <v>84144000</v>
      </c>
      <c r="K13" s="198">
        <v>83538000</v>
      </c>
      <c r="L13" s="198">
        <v>80616000</v>
      </c>
      <c r="M13" s="198">
        <v>74494000</v>
      </c>
      <c r="N13" s="196">
        <f>SUM(B13:M13)</f>
        <v>964759000</v>
      </c>
      <c r="O13" s="190"/>
      <c r="P13" s="190"/>
      <c r="Q13" s="190"/>
      <c r="R13" s="190"/>
      <c r="S13" s="190"/>
      <c r="T13" s="190"/>
    </row>
    <row r="14" spans="1:20" ht="12.75">
      <c r="A14" s="191" t="s">
        <v>93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3">
        <v>74651000</v>
      </c>
      <c r="O14" s="190"/>
      <c r="P14" s="190"/>
      <c r="Q14" s="190"/>
      <c r="R14" s="190"/>
      <c r="S14" s="190"/>
      <c r="T14" s="190"/>
    </row>
    <row r="15" spans="1:20" ht="25.5">
      <c r="A15" s="191" t="s">
        <v>254</v>
      </c>
      <c r="B15" s="202">
        <v>0.04315204846585328</v>
      </c>
      <c r="C15" s="202">
        <v>0.04361796057289667</v>
      </c>
      <c r="D15" s="202">
        <v>0.038283012349000355</v>
      </c>
      <c r="E15" s="202">
        <v>0.03995632518665053</v>
      </c>
      <c r="F15" s="202">
        <v>0.041087465307870656</v>
      </c>
      <c r="G15" s="202">
        <v>0.04320281870035227</v>
      </c>
      <c r="H15" s="202">
        <v>0.041067707748500444</v>
      </c>
      <c r="I15" s="202">
        <v>0.04266153421698829</v>
      </c>
      <c r="J15" s="202">
        <v>0.03996973921768567</v>
      </c>
      <c r="K15" s="202">
        <v>0.04179131875084076</v>
      </c>
      <c r="L15" s="202">
        <v>0.040884697514061055</v>
      </c>
      <c r="M15" s="202">
        <v>0.04053247345541663</v>
      </c>
      <c r="N15" s="193"/>
      <c r="O15" s="190"/>
      <c r="P15" s="190"/>
      <c r="Q15" s="190"/>
      <c r="R15" s="190"/>
      <c r="S15" s="190"/>
      <c r="T15" s="190"/>
    </row>
    <row r="16" spans="1:20" ht="12.75">
      <c r="A16" s="191" t="s">
        <v>255</v>
      </c>
      <c r="B16" s="194">
        <f>+B13*B15</f>
        <v>3431709.806295448</v>
      </c>
      <c r="C16" s="194">
        <f aca="true" t="shared" si="2" ref="C16:M16">+C13*C15</f>
        <v>3261707.47368064</v>
      </c>
      <c r="D16" s="194">
        <f t="shared" si="2"/>
        <v>2933167.840155709</v>
      </c>
      <c r="E16" s="194">
        <f t="shared" si="2"/>
        <v>3055260.4053972326</v>
      </c>
      <c r="F16" s="194">
        <f t="shared" si="2"/>
        <v>3351340.195301778</v>
      </c>
      <c r="G16" s="194">
        <f t="shared" si="2"/>
        <v>3526473.2792349546</v>
      </c>
      <c r="H16" s="194">
        <f t="shared" si="2"/>
        <v>3392972.946473358</v>
      </c>
      <c r="I16" s="194">
        <f t="shared" si="2"/>
        <v>3786979.0693736165</v>
      </c>
      <c r="J16" s="194">
        <f t="shared" si="2"/>
        <v>3363213.736732943</v>
      </c>
      <c r="K16" s="194">
        <f t="shared" si="2"/>
        <v>3491163.185807735</v>
      </c>
      <c r="L16" s="194">
        <f t="shared" si="2"/>
        <v>3295960.774793546</v>
      </c>
      <c r="M16" s="194">
        <f t="shared" si="2"/>
        <v>3019426.077587806</v>
      </c>
      <c r="N16" s="193">
        <f>SUM(B16:M16)</f>
        <v>39909374.79083476</v>
      </c>
      <c r="P16" s="190"/>
      <c r="Q16" s="190"/>
      <c r="R16" s="190"/>
      <c r="S16" s="190"/>
      <c r="T16" s="190"/>
    </row>
    <row r="17" spans="1:20" ht="12.75">
      <c r="A17" s="191" t="s">
        <v>152</v>
      </c>
      <c r="B17" s="194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3">
        <v>1492964</v>
      </c>
      <c r="P17" s="190"/>
      <c r="Q17" s="190"/>
      <c r="R17" s="190"/>
      <c r="S17" s="190"/>
      <c r="T17" s="190"/>
    </row>
    <row r="18" spans="1:20" ht="12.75">
      <c r="A18" s="191" t="s">
        <v>155</v>
      </c>
      <c r="B18" s="194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3">
        <v>1578085</v>
      </c>
      <c r="P18" s="190"/>
      <c r="Q18" s="190"/>
      <c r="R18" s="190"/>
      <c r="S18" s="190"/>
      <c r="T18" s="190"/>
    </row>
    <row r="19" spans="1:20" ht="12.75">
      <c r="A19" s="191" t="s">
        <v>91</v>
      </c>
      <c r="B19" s="194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3">
        <v>-366906.055594074</v>
      </c>
      <c r="P19" s="190"/>
      <c r="Q19" s="190"/>
      <c r="R19" s="190"/>
      <c r="S19" s="190"/>
      <c r="T19" s="190"/>
    </row>
    <row r="20" spans="1:20" ht="12.75">
      <c r="A20" s="191" t="s">
        <v>92</v>
      </c>
      <c r="B20" s="194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3">
        <f>+N16+N17+N18+N19</f>
        <v>42613517.73524069</v>
      </c>
      <c r="P20" s="190"/>
      <c r="Q20" s="190"/>
      <c r="R20" s="190"/>
      <c r="S20" s="190"/>
      <c r="T20" s="190"/>
    </row>
    <row r="21" spans="1:20" ht="25.5">
      <c r="A21" s="191" t="s">
        <v>103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3"/>
      <c r="O21" s="190"/>
      <c r="P21" s="190"/>
      <c r="Q21" s="190"/>
      <c r="R21" s="190"/>
      <c r="S21" s="190"/>
      <c r="T21" s="190"/>
    </row>
    <row r="22" spans="1:20" ht="12.75">
      <c r="A22" s="191"/>
      <c r="B22" s="194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O22" s="190"/>
      <c r="P22" s="190"/>
      <c r="Q22" s="190"/>
      <c r="R22" s="190"/>
      <c r="S22" s="190"/>
      <c r="T22" s="190"/>
    </row>
    <row r="23" spans="1:20" ht="12.75">
      <c r="A23" s="203" t="s">
        <v>111</v>
      </c>
      <c r="B23" s="194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3"/>
      <c r="O23" s="190"/>
      <c r="P23" s="190"/>
      <c r="Q23" s="190"/>
      <c r="R23" s="190"/>
      <c r="S23" s="190"/>
      <c r="T23" s="190"/>
    </row>
    <row r="24" spans="1:20" ht="12.75">
      <c r="A24" s="191" t="s">
        <v>94</v>
      </c>
      <c r="B24" s="194">
        <v>927260.6</v>
      </c>
      <c r="C24" s="194">
        <v>761847.8</v>
      </c>
      <c r="D24" s="194">
        <v>927260.6</v>
      </c>
      <c r="E24" s="194">
        <v>872123</v>
      </c>
      <c r="F24" s="194">
        <v>927260.6</v>
      </c>
      <c r="G24" s="194">
        <v>872123</v>
      </c>
      <c r="H24" s="194">
        <v>927260.6</v>
      </c>
      <c r="I24" s="194">
        <v>927260.6</v>
      </c>
      <c r="J24" s="194">
        <v>872123</v>
      </c>
      <c r="K24" s="194">
        <v>927260.6</v>
      </c>
      <c r="L24" s="194">
        <v>872123</v>
      </c>
      <c r="M24" s="194">
        <v>927260.6</v>
      </c>
      <c r="N24" s="193">
        <f>SUM(B24:M24)</f>
        <v>10741163.999999998</v>
      </c>
      <c r="O24" s="190"/>
      <c r="P24" s="190"/>
      <c r="Q24" s="190"/>
      <c r="R24" s="190"/>
      <c r="S24" s="190"/>
      <c r="T24" s="190"/>
    </row>
    <row r="25" spans="1:20" ht="12.75">
      <c r="A25" s="204" t="s">
        <v>72</v>
      </c>
      <c r="B25" s="198">
        <v>15498000</v>
      </c>
      <c r="C25" s="198">
        <v>12474000</v>
      </c>
      <c r="D25" s="198">
        <v>15498000</v>
      </c>
      <c r="E25" s="198">
        <v>14490000</v>
      </c>
      <c r="F25" s="198">
        <v>15498000</v>
      </c>
      <c r="G25" s="198">
        <v>14490000</v>
      </c>
      <c r="H25" s="198">
        <v>15498000</v>
      </c>
      <c r="I25" s="198">
        <v>15498000</v>
      </c>
      <c r="J25" s="198">
        <v>14490000</v>
      </c>
      <c r="K25" s="198">
        <v>15498000</v>
      </c>
      <c r="L25" s="198">
        <v>14490000</v>
      </c>
      <c r="M25" s="198">
        <v>15498000</v>
      </c>
      <c r="N25" s="196">
        <f>SUM(B25:M25)</f>
        <v>178920000</v>
      </c>
      <c r="O25" s="190"/>
      <c r="P25" s="190"/>
      <c r="Q25" s="190"/>
      <c r="R25" s="190"/>
      <c r="S25" s="190"/>
      <c r="T25" s="190"/>
    </row>
    <row r="26" spans="1:20" ht="12.75">
      <c r="A26" s="203" t="s">
        <v>256</v>
      </c>
      <c r="B26" s="194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3"/>
      <c r="O26" s="190"/>
      <c r="P26" s="190"/>
      <c r="Q26" s="190"/>
      <c r="R26" s="190"/>
      <c r="S26" s="190"/>
      <c r="T26" s="190"/>
    </row>
    <row r="27" spans="1:20" ht="12.75">
      <c r="A27" s="191" t="s">
        <v>257</v>
      </c>
      <c r="B27" s="202">
        <v>0.03394937058562286</v>
      </c>
      <c r="C27" s="202">
        <v>0.03394937058562286</v>
      </c>
      <c r="D27" s="202">
        <v>0.03394937058562286</v>
      </c>
      <c r="E27" s="202">
        <v>0.03394937058562286</v>
      </c>
      <c r="F27" s="202">
        <v>0.03394937058562286</v>
      </c>
      <c r="G27" s="202">
        <v>0.03394937058562286</v>
      </c>
      <c r="H27" s="202">
        <v>0.03394937058562286</v>
      </c>
      <c r="I27" s="202">
        <v>0.03394937058562286</v>
      </c>
      <c r="J27" s="202">
        <v>0.03394937058562286</v>
      </c>
      <c r="K27" s="202">
        <v>0.03394937058562286</v>
      </c>
      <c r="L27" s="202">
        <v>0.03394937058562286</v>
      </c>
      <c r="M27" s="202">
        <v>0.03394937058562286</v>
      </c>
      <c r="N27" s="193"/>
      <c r="O27" s="190"/>
      <c r="P27" s="190"/>
      <c r="Q27" s="190"/>
      <c r="R27" s="190"/>
      <c r="S27" s="190"/>
      <c r="T27" s="190"/>
    </row>
    <row r="28" spans="1:20" ht="12.75">
      <c r="A28" s="191" t="s">
        <v>258</v>
      </c>
      <c r="B28" s="194">
        <f aca="true" t="shared" si="3" ref="B28:M28">+B25*B27</f>
        <v>526147.3453359831</v>
      </c>
      <c r="C28" s="194">
        <f t="shared" si="3"/>
        <v>423484.44868505956</v>
      </c>
      <c r="D28" s="194">
        <f t="shared" si="3"/>
        <v>526147.3453359831</v>
      </c>
      <c r="E28" s="194">
        <f t="shared" si="3"/>
        <v>491926.37978567526</v>
      </c>
      <c r="F28" s="194">
        <f t="shared" si="3"/>
        <v>526147.3453359831</v>
      </c>
      <c r="G28" s="194">
        <f t="shared" si="3"/>
        <v>491926.37978567526</v>
      </c>
      <c r="H28" s="194">
        <f t="shared" si="3"/>
        <v>526147.3453359831</v>
      </c>
      <c r="I28" s="194">
        <f t="shared" si="3"/>
        <v>526147.3453359831</v>
      </c>
      <c r="J28" s="194">
        <f t="shared" si="3"/>
        <v>491926.37978567526</v>
      </c>
      <c r="K28" s="194">
        <f t="shared" si="3"/>
        <v>526147.3453359831</v>
      </c>
      <c r="L28" s="194">
        <f t="shared" si="3"/>
        <v>491926.37978567526</v>
      </c>
      <c r="M28" s="194">
        <f t="shared" si="3"/>
        <v>526147.3453359831</v>
      </c>
      <c r="N28" s="193">
        <f>SUM(B28:M28)</f>
        <v>6074221.385179642</v>
      </c>
      <c r="O28" s="190"/>
      <c r="P28" s="190"/>
      <c r="Q28" s="190"/>
      <c r="R28" s="190"/>
      <c r="S28" s="190"/>
      <c r="T28" s="190"/>
    </row>
    <row r="29" spans="1:20" ht="12.75">
      <c r="A29" s="203" t="s">
        <v>100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O29" s="190"/>
      <c r="P29" s="190"/>
      <c r="Q29" s="190"/>
      <c r="R29" s="190"/>
      <c r="S29" s="190"/>
      <c r="T29" s="190"/>
    </row>
    <row r="30" spans="1:20" ht="12.75">
      <c r="A30" s="191" t="s">
        <v>146</v>
      </c>
      <c r="B30" s="202">
        <v>0.0012274587777015597</v>
      </c>
      <c r="C30" s="202">
        <v>0.0012274587777015597</v>
      </c>
      <c r="D30" s="202">
        <v>0.0012274587777015597</v>
      </c>
      <c r="E30" s="202">
        <v>0.0012274587777015597</v>
      </c>
      <c r="F30" s="202">
        <v>0.0012274587777015597</v>
      </c>
      <c r="G30" s="202">
        <v>0.0012274587777015597</v>
      </c>
      <c r="H30" s="202">
        <v>0.0012274587777015597</v>
      </c>
      <c r="I30" s="202">
        <v>0.0012274587777015597</v>
      </c>
      <c r="J30" s="202">
        <v>0.0012274587777015597</v>
      </c>
      <c r="K30" s="202">
        <v>0.0012274587777015597</v>
      </c>
      <c r="L30" s="202">
        <v>0.0012274587777015597</v>
      </c>
      <c r="M30" s="202">
        <v>0.0012274587777015597</v>
      </c>
      <c r="N30" s="193"/>
      <c r="O30" s="190"/>
      <c r="P30" s="190"/>
      <c r="Q30" s="190"/>
      <c r="R30" s="190"/>
      <c r="S30" s="190"/>
      <c r="T30" s="190"/>
    </row>
    <row r="31" spans="1:20" ht="12.75">
      <c r="A31" s="191" t="s">
        <v>147</v>
      </c>
      <c r="B31" s="194">
        <f aca="true" t="shared" si="4" ref="B31:M31">+B30*B25</f>
        <v>19023.156136818772</v>
      </c>
      <c r="C31" s="194">
        <f t="shared" si="4"/>
        <v>15311.320793049255</v>
      </c>
      <c r="D31" s="194">
        <f t="shared" si="4"/>
        <v>19023.156136818772</v>
      </c>
      <c r="E31" s="194">
        <f t="shared" si="4"/>
        <v>17785.877688895598</v>
      </c>
      <c r="F31" s="194">
        <f t="shared" si="4"/>
        <v>19023.156136818772</v>
      </c>
      <c r="G31" s="194">
        <f t="shared" si="4"/>
        <v>17785.877688895598</v>
      </c>
      <c r="H31" s="194">
        <f t="shared" si="4"/>
        <v>19023.156136818772</v>
      </c>
      <c r="I31" s="194">
        <f t="shared" si="4"/>
        <v>19023.156136818772</v>
      </c>
      <c r="J31" s="194">
        <f t="shared" si="4"/>
        <v>17785.877688895598</v>
      </c>
      <c r="K31" s="194">
        <f t="shared" si="4"/>
        <v>19023.156136818772</v>
      </c>
      <c r="L31" s="194">
        <f t="shared" si="4"/>
        <v>17785.877688895598</v>
      </c>
      <c r="M31" s="194">
        <f t="shared" si="4"/>
        <v>19023.156136818772</v>
      </c>
      <c r="N31" s="193">
        <f>SUM(B31:M31)</f>
        <v>219616.92450636305</v>
      </c>
      <c r="O31" s="190"/>
      <c r="P31" s="190"/>
      <c r="Q31" s="190"/>
      <c r="R31" s="190"/>
      <c r="S31" s="190"/>
      <c r="T31" s="190"/>
    </row>
    <row r="32" spans="1:20" ht="12.75">
      <c r="A32" s="191" t="s">
        <v>148</v>
      </c>
      <c r="B32" s="202">
        <v>0.0012973706920847987</v>
      </c>
      <c r="C32" s="202">
        <v>0.0012973706920847987</v>
      </c>
      <c r="D32" s="202">
        <v>0.0012973706920847987</v>
      </c>
      <c r="E32" s="202">
        <v>0.0012973706920847987</v>
      </c>
      <c r="F32" s="202">
        <v>0.0012973706920847987</v>
      </c>
      <c r="G32" s="202">
        <v>0.0012973706920847987</v>
      </c>
      <c r="H32" s="202">
        <v>0.0012973706920847987</v>
      </c>
      <c r="I32" s="202">
        <v>0.0012973706920847987</v>
      </c>
      <c r="J32" s="202">
        <v>0.0012973706920847987</v>
      </c>
      <c r="K32" s="202">
        <v>0.0012973706920847987</v>
      </c>
      <c r="L32" s="202">
        <v>0.0012973706920847987</v>
      </c>
      <c r="M32" s="202">
        <v>0.0012973706920847987</v>
      </c>
      <c r="N32" s="193"/>
      <c r="O32" s="190"/>
      <c r="P32" s="190"/>
      <c r="Q32" s="190"/>
      <c r="R32" s="190"/>
      <c r="S32" s="190"/>
      <c r="T32" s="190"/>
    </row>
    <row r="33" spans="1:20" ht="12.75">
      <c r="A33" s="191" t="s">
        <v>149</v>
      </c>
      <c r="B33" s="194">
        <f>+B32*B25</f>
        <v>20106.65098593021</v>
      </c>
      <c r="C33" s="194">
        <f aca="true" t="shared" si="5" ref="C33:M33">+C32*C25</f>
        <v>16183.40201306578</v>
      </c>
      <c r="D33" s="194">
        <f t="shared" si="5"/>
        <v>20106.65098593021</v>
      </c>
      <c r="E33" s="194">
        <f t="shared" si="5"/>
        <v>18798.901328308733</v>
      </c>
      <c r="F33" s="194">
        <f t="shared" si="5"/>
        <v>20106.65098593021</v>
      </c>
      <c r="G33" s="194">
        <f t="shared" si="5"/>
        <v>18798.901328308733</v>
      </c>
      <c r="H33" s="194">
        <f t="shared" si="5"/>
        <v>20106.65098593021</v>
      </c>
      <c r="I33" s="194">
        <f t="shared" si="5"/>
        <v>20106.65098593021</v>
      </c>
      <c r="J33" s="194">
        <f t="shared" si="5"/>
        <v>18798.901328308733</v>
      </c>
      <c r="K33" s="194">
        <f t="shared" si="5"/>
        <v>20106.65098593021</v>
      </c>
      <c r="L33" s="194">
        <f t="shared" si="5"/>
        <v>18798.901328308733</v>
      </c>
      <c r="M33" s="194">
        <f t="shared" si="5"/>
        <v>20106.65098593021</v>
      </c>
      <c r="N33" s="193">
        <f>SUM(B33:M33)</f>
        <v>232125.56422781217</v>
      </c>
      <c r="O33" s="190"/>
      <c r="P33" s="190"/>
      <c r="Q33" s="190"/>
      <c r="R33" s="190"/>
      <c r="S33" s="190"/>
      <c r="T33" s="190"/>
    </row>
    <row r="34" spans="1:20" ht="11.25" customHeight="1">
      <c r="A34" s="191"/>
      <c r="B34" s="194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3"/>
      <c r="O34" s="190"/>
      <c r="P34" s="190"/>
      <c r="Q34" s="190"/>
      <c r="R34" s="190"/>
      <c r="S34" s="190"/>
      <c r="T34" s="190"/>
    </row>
    <row r="35" spans="1:20" ht="11.25" customHeight="1">
      <c r="A35" s="206" t="s">
        <v>51</v>
      </c>
      <c r="B35" s="194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3"/>
      <c r="O35" s="190"/>
      <c r="P35" s="190"/>
      <c r="Q35" s="190"/>
      <c r="R35" s="190"/>
      <c r="S35" s="190"/>
      <c r="T35" s="190"/>
    </row>
    <row r="36" spans="1:20" ht="11.25" customHeight="1">
      <c r="A36" s="191" t="s">
        <v>127</v>
      </c>
      <c r="B36" s="194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3"/>
      <c r="O36" s="190"/>
      <c r="P36" s="190"/>
      <c r="Q36" s="190"/>
      <c r="R36" s="190"/>
      <c r="S36" s="190"/>
      <c r="T36" s="190"/>
    </row>
    <row r="37" spans="1:20" ht="11.25" customHeight="1">
      <c r="A37" s="206" t="s">
        <v>164</v>
      </c>
      <c r="B37" s="194">
        <f>100100/12</f>
        <v>8341.666666666666</v>
      </c>
      <c r="C37" s="194">
        <f aca="true" t="shared" si="6" ref="C37:M37">100100/12</f>
        <v>8341.666666666666</v>
      </c>
      <c r="D37" s="194">
        <f t="shared" si="6"/>
        <v>8341.666666666666</v>
      </c>
      <c r="E37" s="194">
        <f t="shared" si="6"/>
        <v>8341.666666666666</v>
      </c>
      <c r="F37" s="194">
        <f t="shared" si="6"/>
        <v>8341.666666666666</v>
      </c>
      <c r="G37" s="194">
        <f t="shared" si="6"/>
        <v>8341.666666666666</v>
      </c>
      <c r="H37" s="194">
        <f t="shared" si="6"/>
        <v>8341.666666666666</v>
      </c>
      <c r="I37" s="194">
        <f t="shared" si="6"/>
        <v>8341.666666666666</v>
      </c>
      <c r="J37" s="194">
        <f t="shared" si="6"/>
        <v>8341.666666666666</v>
      </c>
      <c r="K37" s="194">
        <f t="shared" si="6"/>
        <v>8341.666666666666</v>
      </c>
      <c r="L37" s="194">
        <f t="shared" si="6"/>
        <v>8341.666666666666</v>
      </c>
      <c r="M37" s="194">
        <f t="shared" si="6"/>
        <v>8341.666666666666</v>
      </c>
      <c r="N37" s="193">
        <f>SUM(B37:M37)</f>
        <v>100100.00000000001</v>
      </c>
      <c r="O37" s="190"/>
      <c r="P37" s="190"/>
      <c r="Q37" s="190"/>
      <c r="R37" s="190"/>
      <c r="S37" s="190"/>
      <c r="T37" s="190"/>
    </row>
    <row r="38" spans="1:20" ht="25.5">
      <c r="A38" s="207" t="s">
        <v>165</v>
      </c>
      <c r="B38" s="194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3"/>
      <c r="O38" s="190"/>
      <c r="P38" s="190"/>
      <c r="Q38" s="190"/>
      <c r="R38" s="190"/>
      <c r="S38" s="190"/>
      <c r="T38" s="190"/>
    </row>
    <row r="39" spans="1:20" ht="11.25" customHeight="1">
      <c r="A39" s="191" t="s">
        <v>150</v>
      </c>
      <c r="B39" s="195"/>
      <c r="C39" s="195"/>
      <c r="D39" s="195"/>
      <c r="E39" s="195"/>
      <c r="F39" s="195"/>
      <c r="G39" s="195">
        <v>883388</v>
      </c>
      <c r="H39" s="195">
        <v>1325081</v>
      </c>
      <c r="I39" s="195">
        <v>1325081</v>
      </c>
      <c r="J39" s="195">
        <v>1325081</v>
      </c>
      <c r="K39" s="195">
        <v>1068612</v>
      </c>
      <c r="L39" s="195"/>
      <c r="M39" s="195"/>
      <c r="N39" s="196">
        <f>SUM(B39:M39)</f>
        <v>5927243</v>
      </c>
      <c r="O39" s="190"/>
      <c r="P39" s="190"/>
      <c r="Q39" s="190"/>
      <c r="R39" s="190"/>
      <c r="S39" s="190"/>
      <c r="T39" s="190"/>
    </row>
    <row r="40" spans="1:20" ht="11.25" customHeight="1">
      <c r="A40" s="191" t="s">
        <v>248</v>
      </c>
      <c r="B40" s="208">
        <f>194850/$N$39</f>
        <v>0.03287363113002116</v>
      </c>
      <c r="C40" s="208">
        <f aca="true" t="shared" si="7" ref="C40:M40">194850/$N$39</f>
        <v>0.03287363113002116</v>
      </c>
      <c r="D40" s="208">
        <f t="shared" si="7"/>
        <v>0.03287363113002116</v>
      </c>
      <c r="E40" s="208">
        <f t="shared" si="7"/>
        <v>0.03287363113002116</v>
      </c>
      <c r="F40" s="208">
        <f t="shared" si="7"/>
        <v>0.03287363113002116</v>
      </c>
      <c r="G40" s="208">
        <f t="shared" si="7"/>
        <v>0.03287363113002116</v>
      </c>
      <c r="H40" s="208">
        <f t="shared" si="7"/>
        <v>0.03287363113002116</v>
      </c>
      <c r="I40" s="208">
        <f t="shared" si="7"/>
        <v>0.03287363113002116</v>
      </c>
      <c r="J40" s="208">
        <f t="shared" si="7"/>
        <v>0.03287363113002116</v>
      </c>
      <c r="K40" s="208">
        <f t="shared" si="7"/>
        <v>0.03287363113002116</v>
      </c>
      <c r="L40" s="208">
        <f t="shared" si="7"/>
        <v>0.03287363113002116</v>
      </c>
      <c r="M40" s="208">
        <f t="shared" si="7"/>
        <v>0.03287363113002116</v>
      </c>
      <c r="N40" s="196"/>
      <c r="O40" s="190"/>
      <c r="P40" s="190"/>
      <c r="Q40" s="190"/>
      <c r="R40" s="190"/>
      <c r="S40" s="190"/>
      <c r="T40" s="190"/>
    </row>
    <row r="41" spans="1:20" ht="11.25" customHeight="1">
      <c r="A41" s="191" t="s">
        <v>249</v>
      </c>
      <c r="B41" s="194">
        <f>+B39*B40</f>
        <v>0</v>
      </c>
      <c r="C41" s="194">
        <f aca="true" t="shared" si="8" ref="C41:M41">+C39*C40</f>
        <v>0</v>
      </c>
      <c r="D41" s="194">
        <f t="shared" si="8"/>
        <v>0</v>
      </c>
      <c r="E41" s="194">
        <f t="shared" si="8"/>
        <v>0</v>
      </c>
      <c r="F41" s="194">
        <f t="shared" si="8"/>
        <v>0</v>
      </c>
      <c r="G41" s="194">
        <f t="shared" si="8"/>
        <v>29040.171256687132</v>
      </c>
      <c r="H41" s="194">
        <f t="shared" si="8"/>
        <v>43560.22401139957</v>
      </c>
      <c r="I41" s="194">
        <f t="shared" si="8"/>
        <v>43560.22401139957</v>
      </c>
      <c r="J41" s="194">
        <f t="shared" si="8"/>
        <v>43560.22401139957</v>
      </c>
      <c r="K41" s="194">
        <f t="shared" si="8"/>
        <v>35129.15670911417</v>
      </c>
      <c r="L41" s="194">
        <f t="shared" si="8"/>
        <v>0</v>
      </c>
      <c r="M41" s="194">
        <f t="shared" si="8"/>
        <v>0</v>
      </c>
      <c r="N41" s="193">
        <f>SUM(B41:M41)</f>
        <v>194850.00000000003</v>
      </c>
      <c r="O41" s="190"/>
      <c r="P41" s="190"/>
      <c r="Q41" s="190"/>
      <c r="R41" s="190"/>
      <c r="S41" s="190"/>
      <c r="T41" s="190"/>
    </row>
    <row r="42" spans="1:20" ht="11.25" customHeight="1">
      <c r="A42" s="191" t="s">
        <v>146</v>
      </c>
      <c r="B42" s="202">
        <f>7200/$N$39</f>
        <v>0.00121473001866129</v>
      </c>
      <c r="C42" s="202">
        <f aca="true" t="shared" si="9" ref="C42:M42">7200/$N$39</f>
        <v>0.00121473001866129</v>
      </c>
      <c r="D42" s="202">
        <f t="shared" si="9"/>
        <v>0.00121473001866129</v>
      </c>
      <c r="E42" s="202">
        <f t="shared" si="9"/>
        <v>0.00121473001866129</v>
      </c>
      <c r="F42" s="202">
        <f t="shared" si="9"/>
        <v>0.00121473001866129</v>
      </c>
      <c r="G42" s="202">
        <f t="shared" si="9"/>
        <v>0.00121473001866129</v>
      </c>
      <c r="H42" s="202">
        <f t="shared" si="9"/>
        <v>0.00121473001866129</v>
      </c>
      <c r="I42" s="202">
        <f t="shared" si="9"/>
        <v>0.00121473001866129</v>
      </c>
      <c r="J42" s="202">
        <f t="shared" si="9"/>
        <v>0.00121473001866129</v>
      </c>
      <c r="K42" s="202">
        <f t="shared" si="9"/>
        <v>0.00121473001866129</v>
      </c>
      <c r="L42" s="202">
        <f t="shared" si="9"/>
        <v>0.00121473001866129</v>
      </c>
      <c r="M42" s="202">
        <f t="shared" si="9"/>
        <v>0.00121473001866129</v>
      </c>
      <c r="N42" s="193"/>
      <c r="O42" s="190"/>
      <c r="P42" s="190"/>
      <c r="Q42" s="190"/>
      <c r="R42" s="190"/>
      <c r="S42" s="190"/>
      <c r="T42" s="190"/>
    </row>
    <row r="43" spans="1:20" ht="11.25" customHeight="1">
      <c r="A43" s="191" t="s">
        <v>147</v>
      </c>
      <c r="B43" s="194">
        <f aca="true" t="shared" si="10" ref="B43:M43">+B39*B42</f>
        <v>0</v>
      </c>
      <c r="C43" s="194">
        <f t="shared" si="10"/>
        <v>0</v>
      </c>
      <c r="D43" s="194">
        <f t="shared" si="10"/>
        <v>0</v>
      </c>
      <c r="E43" s="194">
        <f t="shared" si="10"/>
        <v>0</v>
      </c>
      <c r="F43" s="194">
        <f t="shared" si="10"/>
        <v>0</v>
      </c>
      <c r="G43" s="194">
        <f t="shared" si="10"/>
        <v>1073.0779217251597</v>
      </c>
      <c r="H43" s="194">
        <f t="shared" si="10"/>
        <v>1609.6156678577208</v>
      </c>
      <c r="I43" s="194">
        <f t="shared" si="10"/>
        <v>1609.6156678577208</v>
      </c>
      <c r="J43" s="194">
        <f t="shared" si="10"/>
        <v>1609.6156678577208</v>
      </c>
      <c r="K43" s="194">
        <f t="shared" si="10"/>
        <v>1298.0750747016784</v>
      </c>
      <c r="L43" s="194">
        <f t="shared" si="10"/>
        <v>0</v>
      </c>
      <c r="M43" s="194">
        <f t="shared" si="10"/>
        <v>0</v>
      </c>
      <c r="N43" s="193">
        <f>SUM(B43:M43)</f>
        <v>7200.000000000001</v>
      </c>
      <c r="O43" s="190"/>
      <c r="P43" s="190"/>
      <c r="Q43" s="190"/>
      <c r="R43" s="190"/>
      <c r="S43" s="190"/>
      <c r="T43" s="190"/>
    </row>
    <row r="44" spans="1:20" ht="11.25" customHeight="1">
      <c r="A44" s="191" t="s">
        <v>148</v>
      </c>
      <c r="B44" s="202">
        <f>7600/$N$39</f>
        <v>0.0012822150196980283</v>
      </c>
      <c r="C44" s="202">
        <f aca="true" t="shared" si="11" ref="C44:M44">7600/$N$39</f>
        <v>0.0012822150196980283</v>
      </c>
      <c r="D44" s="202">
        <f t="shared" si="11"/>
        <v>0.0012822150196980283</v>
      </c>
      <c r="E44" s="202">
        <f t="shared" si="11"/>
        <v>0.0012822150196980283</v>
      </c>
      <c r="F44" s="202">
        <f t="shared" si="11"/>
        <v>0.0012822150196980283</v>
      </c>
      <c r="G44" s="202">
        <f t="shared" si="11"/>
        <v>0.0012822150196980283</v>
      </c>
      <c r="H44" s="202">
        <f t="shared" si="11"/>
        <v>0.0012822150196980283</v>
      </c>
      <c r="I44" s="202">
        <f t="shared" si="11"/>
        <v>0.0012822150196980283</v>
      </c>
      <c r="J44" s="202">
        <f t="shared" si="11"/>
        <v>0.0012822150196980283</v>
      </c>
      <c r="K44" s="202">
        <f t="shared" si="11"/>
        <v>0.0012822150196980283</v>
      </c>
      <c r="L44" s="202">
        <f t="shared" si="11"/>
        <v>0.0012822150196980283</v>
      </c>
      <c r="M44" s="202">
        <f t="shared" si="11"/>
        <v>0.0012822150196980283</v>
      </c>
      <c r="N44" s="193"/>
      <c r="O44" s="190"/>
      <c r="P44" s="190"/>
      <c r="Q44" s="190"/>
      <c r="R44" s="190"/>
      <c r="S44" s="190"/>
      <c r="T44" s="190"/>
    </row>
    <row r="45" spans="1:20" ht="11.25" customHeight="1">
      <c r="A45" s="191" t="s">
        <v>149</v>
      </c>
      <c r="B45" s="194">
        <f aca="true" t="shared" si="12" ref="B45:M45">+B39*B44</f>
        <v>0</v>
      </c>
      <c r="C45" s="194">
        <f t="shared" si="12"/>
        <v>0</v>
      </c>
      <c r="D45" s="194">
        <f t="shared" si="12"/>
        <v>0</v>
      </c>
      <c r="E45" s="194">
        <f t="shared" si="12"/>
        <v>0</v>
      </c>
      <c r="F45" s="194">
        <f t="shared" si="12"/>
        <v>0</v>
      </c>
      <c r="G45" s="194">
        <f t="shared" si="12"/>
        <v>1132.6933618210019</v>
      </c>
      <c r="H45" s="194">
        <f t="shared" si="12"/>
        <v>1699.038760516483</v>
      </c>
      <c r="I45" s="194">
        <f t="shared" si="12"/>
        <v>1699.038760516483</v>
      </c>
      <c r="J45" s="194">
        <f t="shared" si="12"/>
        <v>1699.038760516483</v>
      </c>
      <c r="K45" s="194">
        <f t="shared" si="12"/>
        <v>1370.1903566295493</v>
      </c>
      <c r="L45" s="194">
        <f t="shared" si="12"/>
        <v>0</v>
      </c>
      <c r="M45" s="194">
        <f t="shared" si="12"/>
        <v>0</v>
      </c>
      <c r="N45" s="193">
        <f>SUM(B45:M45)</f>
        <v>7600.000000000001</v>
      </c>
      <c r="O45" s="190"/>
      <c r="P45" s="190"/>
      <c r="Q45" s="190"/>
      <c r="R45" s="190"/>
      <c r="S45" s="190"/>
      <c r="T45" s="190"/>
    </row>
    <row r="46" spans="1:20" ht="11.25" customHeight="1">
      <c r="A46" s="191"/>
      <c r="B46" s="194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3"/>
      <c r="O46" s="190"/>
      <c r="P46" s="190"/>
      <c r="Q46" s="190"/>
      <c r="R46" s="190"/>
      <c r="S46" s="190"/>
      <c r="T46" s="190"/>
    </row>
    <row r="47" spans="1:20" ht="28.5" customHeight="1">
      <c r="A47" s="199" t="s">
        <v>160</v>
      </c>
      <c r="B47" s="194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3"/>
      <c r="O47" s="190"/>
      <c r="P47" s="190"/>
      <c r="Q47" s="190"/>
      <c r="R47" s="190"/>
      <c r="S47" s="190"/>
      <c r="T47" s="190"/>
    </row>
    <row r="48" spans="1:20" ht="12.75">
      <c r="A48" s="191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3"/>
      <c r="O48" s="190"/>
      <c r="P48" s="190"/>
      <c r="Q48" s="190"/>
      <c r="R48" s="190"/>
      <c r="S48" s="190"/>
      <c r="T48" s="190"/>
    </row>
    <row r="49" spans="1:20" ht="12.75">
      <c r="A49" s="203" t="s">
        <v>110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200"/>
      <c r="O49" s="190"/>
      <c r="P49" s="190"/>
      <c r="Q49" s="190"/>
      <c r="R49" s="190"/>
      <c r="S49" s="190"/>
      <c r="T49" s="190"/>
    </row>
    <row r="50" spans="1:20" ht="12.75">
      <c r="A50" s="191" t="s">
        <v>94</v>
      </c>
      <c r="B50" s="194">
        <v>594344</v>
      </c>
      <c r="C50" s="194">
        <v>635053.33</v>
      </c>
      <c r="D50" s="194">
        <v>1001517.44</v>
      </c>
      <c r="E50" s="194">
        <v>944291.6</v>
      </c>
      <c r="F50" s="194">
        <v>703002.16308</v>
      </c>
      <c r="G50" s="194">
        <v>460060.28560000006</v>
      </c>
      <c r="H50" s="194">
        <v>702947.84</v>
      </c>
      <c r="I50" s="194">
        <v>702947.84</v>
      </c>
      <c r="J50" s="194">
        <v>455597.365576004</v>
      </c>
      <c r="K50" s="194">
        <v>702947.84</v>
      </c>
      <c r="L50" s="194">
        <v>683043.2</v>
      </c>
      <c r="M50" s="194">
        <v>702947.84</v>
      </c>
      <c r="N50" s="193">
        <f>SUM(B50:M50)</f>
        <v>8288700.744256003</v>
      </c>
      <c r="O50" s="190"/>
      <c r="P50" s="190"/>
      <c r="Q50" s="190"/>
      <c r="R50" s="190"/>
      <c r="S50" s="190"/>
      <c r="T50" s="190"/>
    </row>
    <row r="51" spans="1:20" ht="12.75">
      <c r="A51" s="191" t="s">
        <v>109</v>
      </c>
      <c r="B51" s="198">
        <f>+'Data Inputs - 2010'!C35</f>
        <v>15498000</v>
      </c>
      <c r="C51" s="198">
        <f>+'Data Inputs - 2010'!D35</f>
        <v>12474000</v>
      </c>
      <c r="D51" s="198">
        <f>+'Data Inputs - 2010'!E35</f>
        <v>15456000</v>
      </c>
      <c r="E51" s="198">
        <f>+'Data Inputs - 2010'!F35</f>
        <v>10080000</v>
      </c>
      <c r="F51" s="198">
        <f>+'Data Inputs - 2010'!G35</f>
        <v>10416000</v>
      </c>
      <c r="G51" s="198">
        <f>+'Data Inputs - 2010'!H35</f>
        <v>12290144</v>
      </c>
      <c r="H51" s="198">
        <f>+'Data Inputs - 2010'!I35</f>
        <v>15498000.000000002</v>
      </c>
      <c r="I51" s="198">
        <f>+'Data Inputs - 2010'!J35</f>
        <v>15498000.000000002</v>
      </c>
      <c r="J51" s="198">
        <f>+'Data Inputs - 2010'!K35</f>
        <v>14490000</v>
      </c>
      <c r="K51" s="198">
        <f>+'Data Inputs - 2010'!L35</f>
        <v>15498000.000000002</v>
      </c>
      <c r="L51" s="198">
        <f>+'Data Inputs - 2010'!M35</f>
        <v>14532000</v>
      </c>
      <c r="M51" s="198">
        <f>+'Data Inputs - 2010'!N35</f>
        <v>15498000</v>
      </c>
      <c r="N51" s="196">
        <f>SUM(B51:M51)</f>
        <v>167228144</v>
      </c>
      <c r="O51" s="190"/>
      <c r="P51" s="190"/>
      <c r="Q51" s="190"/>
      <c r="R51" s="190"/>
      <c r="S51" s="190"/>
      <c r="T51" s="190"/>
    </row>
    <row r="52" spans="1:20" ht="12.75">
      <c r="A52" s="203" t="s">
        <v>256</v>
      </c>
      <c r="B52" s="194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3"/>
      <c r="O52" s="190"/>
      <c r="P52" s="190"/>
      <c r="Q52" s="190"/>
      <c r="R52" s="190"/>
      <c r="S52" s="190"/>
      <c r="T52" s="190"/>
    </row>
    <row r="53" spans="1:20" ht="12.75">
      <c r="A53" s="191" t="s">
        <v>257</v>
      </c>
      <c r="B53" s="202">
        <f>+B27*'AE Calibration'!$D$5*'AE Calibration'!$G$5</f>
        <v>0.036741725192494266</v>
      </c>
      <c r="C53" s="202">
        <f>+C27*'AE Calibration'!$D$5*'AE Calibration'!$G$5</f>
        <v>0.036741725192494266</v>
      </c>
      <c r="D53" s="202">
        <f>+D27*'AE Calibration'!$D$5*'AE Calibration'!$G$5</f>
        <v>0.036741725192494266</v>
      </c>
      <c r="E53" s="202">
        <f>+E27*'AE Calibration'!$D$5*'AE Calibration'!$G$5</f>
        <v>0.036741725192494266</v>
      </c>
      <c r="F53" s="202">
        <f>+F27*'AE Calibration'!$D$5*'AE Calibration'!$G$5</f>
        <v>0.036741725192494266</v>
      </c>
      <c r="G53" s="202">
        <f>+G27*'AE Calibration'!$D$5*'AE Calibration'!$G$5</f>
        <v>0.036741725192494266</v>
      </c>
      <c r="H53" s="202">
        <f>+H27*'AE Calibration'!$D$5*'AE Calibration'!$G$5</f>
        <v>0.036741725192494266</v>
      </c>
      <c r="I53" s="202">
        <f>+I27*'AE Calibration'!$D$5*'AE Calibration'!$G$5</f>
        <v>0.036741725192494266</v>
      </c>
      <c r="J53" s="202">
        <f>+J27*'AE Calibration'!$D$5*'AE Calibration'!$G$5</f>
        <v>0.036741725192494266</v>
      </c>
      <c r="K53" s="202">
        <f>+K27*'AE Calibration'!$D$5*'AE Calibration'!$G$5</f>
        <v>0.036741725192494266</v>
      </c>
      <c r="L53" s="202">
        <f>+L27*'AE Calibration'!$D$5*'AE Calibration'!$G$5</f>
        <v>0.036741725192494266</v>
      </c>
      <c r="M53" s="202">
        <f>+M27*'AE Calibration'!$D$5*'AE Calibration'!$G$5</f>
        <v>0.036741725192494266</v>
      </c>
      <c r="N53" s="193"/>
      <c r="O53" s="190"/>
      <c r="P53" s="190"/>
      <c r="Q53" s="190"/>
      <c r="R53" s="190"/>
      <c r="S53" s="190"/>
      <c r="T53" s="190"/>
    </row>
    <row r="54" spans="1:20" ht="12.75">
      <c r="A54" s="191" t="s">
        <v>258</v>
      </c>
      <c r="B54" s="194">
        <f>+B51*B53</f>
        <v>569423.2570332761</v>
      </c>
      <c r="C54" s="194">
        <f aca="true" t="shared" si="13" ref="C54:L54">+C51*C53</f>
        <v>458316.28005117347</v>
      </c>
      <c r="D54" s="194">
        <f t="shared" si="13"/>
        <v>567880.1045751914</v>
      </c>
      <c r="E54" s="194">
        <f t="shared" si="13"/>
        <v>370356.5899403422</v>
      </c>
      <c r="F54" s="194">
        <f t="shared" si="13"/>
        <v>382701.8096050203</v>
      </c>
      <c r="G54" s="194">
        <f t="shared" si="13"/>
        <v>451561.09342418227</v>
      </c>
      <c r="H54" s="194">
        <f t="shared" si="13"/>
        <v>569423.2570332763</v>
      </c>
      <c r="I54" s="194">
        <f t="shared" si="13"/>
        <v>569423.2570332763</v>
      </c>
      <c r="J54" s="194">
        <f t="shared" si="13"/>
        <v>532387.598039242</v>
      </c>
      <c r="K54" s="194">
        <f t="shared" si="13"/>
        <v>569423.2570332763</v>
      </c>
      <c r="L54" s="194">
        <f t="shared" si="13"/>
        <v>533930.7504973267</v>
      </c>
      <c r="M54" s="194">
        <f>+M51*M53</f>
        <v>569423.2570332761</v>
      </c>
      <c r="N54" s="193">
        <f>SUM(B54:M54)</f>
        <v>6144250.51129886</v>
      </c>
      <c r="O54" s="190"/>
      <c r="P54" s="190"/>
      <c r="Q54" s="190"/>
      <c r="R54" s="190"/>
      <c r="S54" s="190"/>
      <c r="T54" s="190"/>
    </row>
    <row r="55" spans="1:20" ht="12.75">
      <c r="A55" s="203" t="s">
        <v>100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O55" s="190"/>
      <c r="P55" s="190"/>
      <c r="Q55" s="190"/>
      <c r="R55" s="190"/>
      <c r="S55" s="190"/>
      <c r="T55" s="190"/>
    </row>
    <row r="56" spans="1:20" ht="12.75">
      <c r="A56" s="191" t="s">
        <v>146</v>
      </c>
      <c r="B56" s="202">
        <f>+B30*'AE Calibration'!$D$6*'AE Calibration'!$G$5</f>
        <v>0.0032759993656058663</v>
      </c>
      <c r="C56" s="202">
        <f>+C30*'AE Calibration'!$D$6*'AE Calibration'!$G$5</f>
        <v>0.0032759993656058663</v>
      </c>
      <c r="D56" s="202">
        <f>+D30*'AE Calibration'!$D$6*'AE Calibration'!$G$5</f>
        <v>0.0032759993656058663</v>
      </c>
      <c r="E56" s="202">
        <f>+E30*'AE Calibration'!$D$6*'AE Calibration'!$G$5</f>
        <v>0.0032759993656058663</v>
      </c>
      <c r="F56" s="202">
        <f>+F30*'AE Calibration'!$D$6*'AE Calibration'!$G$5</f>
        <v>0.0032759993656058663</v>
      </c>
      <c r="G56" s="202">
        <f>+G30*'AE Calibration'!$D$6*'AE Calibration'!$G$5</f>
        <v>0.0032759993656058663</v>
      </c>
      <c r="H56" s="202">
        <f>+H30*'AE Calibration'!$D$6*'AE Calibration'!$G$5</f>
        <v>0.0032759993656058663</v>
      </c>
      <c r="I56" s="202">
        <f>+I30*'AE Calibration'!$D$6*'AE Calibration'!$G$5</f>
        <v>0.0032759993656058663</v>
      </c>
      <c r="J56" s="202">
        <f>+J30*'AE Calibration'!$D$6*'AE Calibration'!$G$5</f>
        <v>0.0032759993656058663</v>
      </c>
      <c r="K56" s="202">
        <f>+K30*'AE Calibration'!$D$6*'AE Calibration'!$G$5</f>
        <v>0.0032759993656058663</v>
      </c>
      <c r="L56" s="202">
        <f>+L30*'AE Calibration'!$D$6*'AE Calibration'!$G$5</f>
        <v>0.0032759993656058663</v>
      </c>
      <c r="M56" s="202">
        <f>+M30*'AE Calibration'!$D$6*'AE Calibration'!$G$5</f>
        <v>0.0032759993656058663</v>
      </c>
      <c r="N56" s="193"/>
      <c r="O56" s="190"/>
      <c r="P56" s="190"/>
      <c r="Q56" s="190"/>
      <c r="R56" s="190"/>
      <c r="S56" s="190"/>
      <c r="T56" s="190"/>
    </row>
    <row r="57" spans="1:20" ht="12.75">
      <c r="A57" s="191" t="s">
        <v>147</v>
      </c>
      <c r="B57" s="194">
        <f>+B51*B56</f>
        <v>50771.438168159715</v>
      </c>
      <c r="C57" s="194">
        <f aca="true" t="shared" si="14" ref="C57:L57">+C51*C56</f>
        <v>40864.816086567575</v>
      </c>
      <c r="D57" s="194">
        <f t="shared" si="14"/>
        <v>50633.84619480427</v>
      </c>
      <c r="E57" s="194">
        <f t="shared" si="14"/>
        <v>33022.07360530713</v>
      </c>
      <c r="F57" s="194">
        <f t="shared" si="14"/>
        <v>34122.8093921507</v>
      </c>
      <c r="G57" s="194">
        <f t="shared" si="14"/>
        <v>40262.50394720474</v>
      </c>
      <c r="H57" s="194">
        <f t="shared" si="14"/>
        <v>50771.43816815972</v>
      </c>
      <c r="I57" s="194">
        <f t="shared" si="14"/>
        <v>50771.43816815972</v>
      </c>
      <c r="J57" s="194">
        <f t="shared" si="14"/>
        <v>47469.230807629</v>
      </c>
      <c r="K57" s="194">
        <f t="shared" si="14"/>
        <v>50771.43816815972</v>
      </c>
      <c r="L57" s="194">
        <f t="shared" si="14"/>
        <v>47606.82278098445</v>
      </c>
      <c r="M57" s="194">
        <f>+M51*M56</f>
        <v>50771.438168159715</v>
      </c>
      <c r="N57" s="193">
        <f>SUM(B57:M57)</f>
        <v>547839.2936554465</v>
      </c>
      <c r="O57" s="190"/>
      <c r="P57" s="190"/>
      <c r="Q57" s="190"/>
      <c r="R57" s="190"/>
      <c r="S57" s="190"/>
      <c r="T57" s="190"/>
    </row>
    <row r="58" spans="1:20" ht="12.75">
      <c r="A58" s="191" t="s">
        <v>148</v>
      </c>
      <c r="B58" s="202">
        <f>+B32*'AE Calibration'!$D$7*'AE Calibration'!$G$5</f>
        <v>0.0018591676905543508</v>
      </c>
      <c r="C58" s="202">
        <f>+C32*'AE Calibration'!$D$7*'AE Calibration'!$G$5</f>
        <v>0.0018591676905543508</v>
      </c>
      <c r="D58" s="202">
        <f>+D32*'AE Calibration'!$D$7*'AE Calibration'!$G$5</f>
        <v>0.0018591676905543508</v>
      </c>
      <c r="E58" s="202">
        <f>+E32*'AE Calibration'!$D$7*'AE Calibration'!$G$5</f>
        <v>0.0018591676905543508</v>
      </c>
      <c r="F58" s="202">
        <f>+F32*'AE Calibration'!$D$7*'AE Calibration'!$G$5</f>
        <v>0.0018591676905543508</v>
      </c>
      <c r="G58" s="202">
        <f>+G32*'AE Calibration'!$D$7*'AE Calibration'!$G$5</f>
        <v>0.0018591676905543508</v>
      </c>
      <c r="H58" s="202">
        <f>+H32*'AE Calibration'!$D$7*'AE Calibration'!$G$5</f>
        <v>0.0018591676905543508</v>
      </c>
      <c r="I58" s="202">
        <f>+I32*'AE Calibration'!$D$7*'AE Calibration'!$G$5</f>
        <v>0.0018591676905543508</v>
      </c>
      <c r="J58" s="202">
        <f>+J32*'AE Calibration'!$D$7*'AE Calibration'!$G$5</f>
        <v>0.0018591676905543508</v>
      </c>
      <c r="K58" s="202">
        <f>+K32*'AE Calibration'!$D$7*'AE Calibration'!$G$5</f>
        <v>0.0018591676905543508</v>
      </c>
      <c r="L58" s="202">
        <f>+L32*'AE Calibration'!$D$7*'AE Calibration'!$G$5</f>
        <v>0.0018591676905543508</v>
      </c>
      <c r="M58" s="202">
        <f>+M32*'AE Calibration'!$D$7*'AE Calibration'!$G$5</f>
        <v>0.0018591676905543508</v>
      </c>
      <c r="N58" s="193"/>
      <c r="O58" s="190"/>
      <c r="P58" s="190"/>
      <c r="Q58" s="190"/>
      <c r="R58" s="190"/>
      <c r="S58" s="190"/>
      <c r="T58" s="190"/>
    </row>
    <row r="59" spans="1:20" ht="12.75">
      <c r="A59" s="191" t="s">
        <v>149</v>
      </c>
      <c r="B59" s="194">
        <f>+B51*B58</f>
        <v>28813.38086821133</v>
      </c>
      <c r="C59" s="194">
        <f aca="true" t="shared" si="15" ref="C59:L59">+C51*C58</f>
        <v>23191.25777197497</v>
      </c>
      <c r="D59" s="194">
        <f t="shared" si="15"/>
        <v>28735.295825208046</v>
      </c>
      <c r="E59" s="194">
        <f t="shared" si="15"/>
        <v>18740.410320787854</v>
      </c>
      <c r="F59" s="194">
        <f t="shared" si="15"/>
        <v>19365.090664814117</v>
      </c>
      <c r="G59" s="194">
        <f t="shared" si="15"/>
        <v>22849.43863706041</v>
      </c>
      <c r="H59" s="194">
        <f t="shared" si="15"/>
        <v>28813.38086821133</v>
      </c>
      <c r="I59" s="194">
        <f t="shared" si="15"/>
        <v>28813.38086821133</v>
      </c>
      <c r="J59" s="194">
        <f t="shared" si="15"/>
        <v>26939.33983613254</v>
      </c>
      <c r="K59" s="194">
        <f t="shared" si="15"/>
        <v>28813.38086821133</v>
      </c>
      <c r="L59" s="194">
        <f t="shared" si="15"/>
        <v>27017.424879135826</v>
      </c>
      <c r="M59" s="194">
        <f>+M51*M58</f>
        <v>28813.38086821133</v>
      </c>
      <c r="N59" s="193">
        <f>SUM(B59:M59)</f>
        <v>310905.1622761704</v>
      </c>
      <c r="O59" s="190"/>
      <c r="P59" s="190"/>
      <c r="Q59" s="190"/>
      <c r="R59" s="190"/>
      <c r="S59" s="190"/>
      <c r="T59" s="190"/>
    </row>
    <row r="60" spans="1:20" ht="12.75">
      <c r="A60" s="191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3"/>
      <c r="O60" s="190"/>
      <c r="P60" s="190"/>
      <c r="Q60" s="190"/>
      <c r="R60" s="190"/>
      <c r="S60" s="190"/>
      <c r="T60" s="190"/>
    </row>
    <row r="61" spans="1:20" ht="12.75">
      <c r="A61" s="203" t="s">
        <v>67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3"/>
      <c r="O61" s="190"/>
      <c r="P61" s="190"/>
      <c r="Q61" s="190"/>
      <c r="R61" s="190"/>
      <c r="S61" s="190"/>
      <c r="T61" s="190"/>
    </row>
    <row r="62" spans="1:20" ht="12.75">
      <c r="A62" s="204" t="s">
        <v>145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3"/>
      <c r="O62" s="190"/>
      <c r="P62" s="190"/>
      <c r="Q62" s="190"/>
      <c r="R62" s="190"/>
      <c r="S62" s="190"/>
      <c r="T62" s="190"/>
    </row>
    <row r="63" spans="1:20" ht="12.75">
      <c r="A63" s="191" t="s">
        <v>68</v>
      </c>
      <c r="B63" s="198">
        <f>'Data Inputs - 2010'!C36</f>
        <v>990072</v>
      </c>
      <c r="C63" s="198">
        <f>'Data Inputs - 2010'!D36</f>
        <v>1221360</v>
      </c>
      <c r="D63" s="198">
        <f>'Data Inputs - 2010'!E36</f>
        <v>70166</v>
      </c>
      <c r="E63" s="198">
        <f>'Data Inputs - 2010'!F36</f>
        <v>1461992</v>
      </c>
      <c r="F63" s="198">
        <f>'Data Inputs - 2010'!G36</f>
        <v>3019161</v>
      </c>
      <c r="G63" s="198">
        <f>'Data Inputs - 2010'!H36</f>
        <v>576793.05</v>
      </c>
      <c r="H63" s="198">
        <f>'Data Inputs - 2010'!I36</f>
        <v>1591343</v>
      </c>
      <c r="I63" s="198">
        <f>'Data Inputs - 2010'!J36</f>
        <v>2833973</v>
      </c>
      <c r="J63" s="198">
        <f>'Data Inputs - 2010'!K36</f>
        <v>6682206</v>
      </c>
      <c r="K63" s="198">
        <f>'Data Inputs - 2010'!L36</f>
        <v>1466770</v>
      </c>
      <c r="L63" s="198">
        <v>485602</v>
      </c>
      <c r="M63" s="198">
        <v>832151</v>
      </c>
      <c r="N63" s="196">
        <f>SUM(B63:M63)</f>
        <v>21231589.05</v>
      </c>
      <c r="O63" s="190"/>
      <c r="P63" s="190"/>
      <c r="Q63" s="190"/>
      <c r="R63" s="190"/>
      <c r="S63" s="190"/>
      <c r="T63" s="190"/>
    </row>
    <row r="64" spans="1:20" ht="12.75">
      <c r="A64" s="191" t="s">
        <v>69</v>
      </c>
      <c r="B64" s="194">
        <f>'Data Inputs - 2010'!C15</f>
        <v>0</v>
      </c>
      <c r="C64" s="194">
        <f>'Data Inputs - 2010'!D15</f>
        <v>79.99</v>
      </c>
      <c r="D64" s="194">
        <f>'Data Inputs - 2010'!E15</f>
        <v>753.61975</v>
      </c>
      <c r="E64" s="194">
        <f>'Data Inputs - 2010'!F15</f>
        <v>5429.36</v>
      </c>
      <c r="F64" s="194">
        <f>'Data Inputs - 2010'!G15</f>
        <v>10996.895</v>
      </c>
      <c r="G64" s="194">
        <f>'Data Inputs - 2010'!H15</f>
        <v>347.51525</v>
      </c>
      <c r="H64" s="194">
        <f>'Data Inputs - 2010'!I15</f>
        <v>1499.105</v>
      </c>
      <c r="I64" s="194">
        <f>'Data Inputs - 2010'!J15</f>
        <v>3708.78</v>
      </c>
      <c r="J64" s="194">
        <f>'Data Inputs - 2010'!K15</f>
        <v>26016.85</v>
      </c>
      <c r="K64" s="194">
        <f>'Data Inputs - 2010'!L15</f>
        <v>56355.99</v>
      </c>
      <c r="L64" s="194">
        <f>'Data Inputs - 2010'!M15</f>
        <v>8004.562050000001</v>
      </c>
      <c r="M64" s="194">
        <f>'Data Inputs - 2010'!N15</f>
        <v>4069.8050000000003</v>
      </c>
      <c r="N64" s="193">
        <f>SUM(B64:M64)</f>
        <v>117262.47205000001</v>
      </c>
      <c r="O64" s="190"/>
      <c r="P64" s="190"/>
      <c r="Q64" s="190"/>
      <c r="R64" s="190"/>
      <c r="S64" s="190"/>
      <c r="T64" s="190"/>
    </row>
    <row r="65" spans="1:20" ht="12.75">
      <c r="A65" s="191" t="s">
        <v>144</v>
      </c>
      <c r="B65" s="194">
        <f>'Data Inputs - 2010'!C14</f>
        <v>613.8030799999999</v>
      </c>
      <c r="C65" s="194">
        <f>'Data Inputs - 2010'!D14</f>
        <v>582.05881</v>
      </c>
      <c r="D65" s="194">
        <f>'Data Inputs - 2010'!E14</f>
        <v>81.9411865</v>
      </c>
      <c r="E65" s="194">
        <f>'Data Inputs - 2010'!F14</f>
        <v>717.3102399999999</v>
      </c>
      <c r="F65" s="194">
        <f>'Data Inputs - 2010'!G14</f>
        <v>1467.0909</v>
      </c>
      <c r="G65" s="194">
        <f>'Data Inputs - 2010'!H14</f>
        <v>329.7360435</v>
      </c>
      <c r="H65" s="194">
        <f>'Data Inputs - 2010'!I14</f>
        <v>764.71115</v>
      </c>
      <c r="I65" s="194">
        <f>'Data Inputs - 2010'!J14</f>
        <v>1345.6753299999998</v>
      </c>
      <c r="J65" s="194">
        <f>'Data Inputs - 2010'!K14</f>
        <v>3193.60065</v>
      </c>
      <c r="K65" s="194">
        <f>'Data Inputs - 2010'!L14</f>
        <v>791.79114</v>
      </c>
      <c r="L65" s="194">
        <f>'Data Inputs - 2010'!M14</f>
        <v>752.4288327</v>
      </c>
      <c r="M65" s="194">
        <f>'Data Inputs - 2010'!N14</f>
        <v>382.56167</v>
      </c>
      <c r="N65" s="193">
        <f>SUM(B65:M65)</f>
        <v>11022.709032699997</v>
      </c>
      <c r="O65" s="190"/>
      <c r="P65" s="190"/>
      <c r="Q65" s="190"/>
      <c r="R65" s="190"/>
      <c r="S65" s="190"/>
      <c r="T65" s="190"/>
    </row>
    <row r="66" spans="1:20" ht="12.75">
      <c r="A66" s="191" t="s">
        <v>70</v>
      </c>
      <c r="B66" s="194">
        <f>'Data Inputs - 2010'!C13</f>
        <v>55553.63308</v>
      </c>
      <c r="C66" s="194">
        <f>'Data Inputs - 2010'!D13</f>
        <v>80801.27881</v>
      </c>
      <c r="D66" s="194">
        <f>'Data Inputs - 2010'!E13</f>
        <v>5578.3911865</v>
      </c>
      <c r="E66" s="194">
        <f>'Data Inputs - 2010'!F13</f>
        <v>79599.33024000001</v>
      </c>
      <c r="F66" s="194">
        <f>'Data Inputs - 2010'!G13</f>
        <v>174921.8809</v>
      </c>
      <c r="G66" s="194">
        <f>'Data Inputs - 2010'!H13</f>
        <v>39312.576043500005</v>
      </c>
      <c r="H66" s="194">
        <f>'Data Inputs - 2010'!I13</f>
        <v>101212.40115</v>
      </c>
      <c r="I66" s="194">
        <f>'Data Inputs - 2010'!J13</f>
        <v>179440.36533</v>
      </c>
      <c r="J66" s="194">
        <f>'Data Inputs - 2010'!K13</f>
        <v>421007.44064999995</v>
      </c>
      <c r="K66" s="194">
        <f>'Data Inputs - 2010'!L13</f>
        <v>88531.41319000002</v>
      </c>
      <c r="L66" s="194">
        <f>'Data Inputs - 2010'!M13</f>
        <v>88376.8788327</v>
      </c>
      <c r="M66" s="194">
        <f>'Data Inputs - 2010'!N13</f>
        <v>-75669.72833</v>
      </c>
      <c r="N66" s="193">
        <f>SUM(B66:M66)</f>
        <v>1238665.8610826998</v>
      </c>
      <c r="O66" s="190"/>
      <c r="P66" s="190"/>
      <c r="Q66" s="190"/>
      <c r="R66" s="190"/>
      <c r="S66" s="190"/>
      <c r="T66" s="190"/>
    </row>
    <row r="67" spans="1:20" ht="12.75">
      <c r="A67" s="191" t="s">
        <v>71</v>
      </c>
      <c r="B67" s="194">
        <f>+B66-B64-B65</f>
        <v>54939.83</v>
      </c>
      <c r="C67" s="194">
        <f aca="true" t="shared" si="16" ref="C67:M67">+C66-C64-C65</f>
        <v>80139.23</v>
      </c>
      <c r="D67" s="194">
        <f t="shared" si="16"/>
        <v>4742.83025</v>
      </c>
      <c r="E67" s="194">
        <f t="shared" si="16"/>
        <v>73452.66</v>
      </c>
      <c r="F67" s="194">
        <f t="shared" si="16"/>
        <v>162457.895</v>
      </c>
      <c r="G67" s="194">
        <f t="shared" si="16"/>
        <v>38635.32475000001</v>
      </c>
      <c r="H67" s="194">
        <f t="shared" si="16"/>
        <v>98948.585</v>
      </c>
      <c r="I67" s="194">
        <f t="shared" si="16"/>
        <v>174385.91</v>
      </c>
      <c r="J67" s="194">
        <f t="shared" si="16"/>
        <v>391796.99</v>
      </c>
      <c r="K67" s="194">
        <f t="shared" si="16"/>
        <v>31383.632050000022</v>
      </c>
      <c r="L67" s="194">
        <f t="shared" si="16"/>
        <v>79619.88794999999</v>
      </c>
      <c r="M67" s="194">
        <f t="shared" si="16"/>
        <v>-80122.095</v>
      </c>
      <c r="N67" s="193">
        <f>SUM(B67:M67)</f>
        <v>1110380.68</v>
      </c>
      <c r="O67" s="190"/>
      <c r="P67" s="190"/>
      <c r="Q67" s="190"/>
      <c r="R67" s="190"/>
      <c r="S67" s="190"/>
      <c r="T67" s="190"/>
    </row>
    <row r="68" spans="1:20" ht="12.75">
      <c r="A68" s="191"/>
      <c r="B68" s="194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3"/>
      <c r="O68" s="190"/>
      <c r="P68" s="190"/>
      <c r="Q68" s="190"/>
      <c r="R68" s="190"/>
      <c r="S68" s="190"/>
      <c r="T68" s="190"/>
    </row>
    <row r="69" spans="1:20" ht="12.75">
      <c r="A69" s="206" t="s">
        <v>51</v>
      </c>
      <c r="B69" s="194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3"/>
      <c r="O69" s="190"/>
      <c r="P69" s="190"/>
      <c r="Q69" s="190"/>
      <c r="R69" s="190"/>
      <c r="S69" s="190"/>
      <c r="T69" s="190"/>
    </row>
    <row r="70" spans="1:20" ht="25.5">
      <c r="A70" s="191" t="s">
        <v>247</v>
      </c>
      <c r="B70" s="198">
        <f>+'Monthly Energy Allocators'!B22</f>
        <v>15750000</v>
      </c>
      <c r="C70" s="198">
        <f>+'Monthly Energy Allocators'!C22</f>
        <v>15750000</v>
      </c>
      <c r="D70" s="198">
        <f>+'Monthly Energy Allocators'!D22</f>
        <v>15750000</v>
      </c>
      <c r="E70" s="198">
        <f>+'Monthly Energy Allocators'!E22</f>
        <v>13943805</v>
      </c>
      <c r="F70" s="198">
        <f>+'Monthly Energy Allocators'!F22</f>
        <v>15356339</v>
      </c>
      <c r="G70" s="198">
        <f>+'Monthly Energy Allocators'!G22</f>
        <v>17945157</v>
      </c>
      <c r="H70" s="198">
        <f>+'Monthly Energy Allocators'!H22</f>
        <v>15750000</v>
      </c>
      <c r="I70" s="198">
        <f>+'Monthly Energy Allocators'!I22</f>
        <v>15750000</v>
      </c>
      <c r="J70" s="198">
        <f>+'Monthly Energy Allocators'!J22</f>
        <v>15750000</v>
      </c>
      <c r="K70" s="198">
        <f>+'Monthly Energy Allocators'!K22</f>
        <v>15750000</v>
      </c>
      <c r="L70" s="198">
        <f>+'Monthly Energy Allocators'!L22</f>
        <v>15750000</v>
      </c>
      <c r="M70" s="198">
        <f>+'Monthly Energy Allocators'!M22</f>
        <v>15750000</v>
      </c>
      <c r="N70" s="196">
        <f>SUM(B70:M70)</f>
        <v>188995301</v>
      </c>
      <c r="O70" s="190"/>
      <c r="P70" s="190"/>
      <c r="Q70" s="190"/>
      <c r="R70" s="190"/>
      <c r="S70" s="190"/>
      <c r="T70" s="190"/>
    </row>
    <row r="71" spans="1:20" ht="12.75">
      <c r="A71" s="206" t="s">
        <v>164</v>
      </c>
      <c r="B71" s="194">
        <f>+'Data Inputs - 2010'!C8</f>
        <v>9056.368026495036</v>
      </c>
      <c r="C71" s="194">
        <f>+'Data Inputs - 2010'!D8</f>
        <v>6999.524304790805</v>
      </c>
      <c r="D71" s="194">
        <f>+'Data Inputs - 2010'!E8</f>
        <v>9056.368026495036</v>
      </c>
      <c r="E71" s="194">
        <f>+'Data Inputs - 2010'!F8</f>
        <v>9056.4</v>
      </c>
      <c r="F71" s="194">
        <f>+'Data Inputs - 2010'!G8</f>
        <v>9056.36802649504</v>
      </c>
      <c r="G71" s="194">
        <f>+'Data Inputs - 2010'!H8</f>
        <v>9056.36802649504</v>
      </c>
      <c r="H71" s="194">
        <f>+'Data Inputs - 2010'!I8</f>
        <v>9056.36802649504</v>
      </c>
      <c r="I71" s="194">
        <f>+'Data Inputs - 2010'!J8</f>
        <v>9056.36802649504</v>
      </c>
      <c r="J71" s="194">
        <f>+'Data Inputs - 2010'!K8</f>
        <v>9056.36802649504</v>
      </c>
      <c r="K71" s="194">
        <f>+'Data Inputs - 2010'!L8</f>
        <v>9056.36802649504</v>
      </c>
      <c r="L71" s="194">
        <f>+'Data Inputs - 2010'!M8</f>
        <v>9056.36802649504</v>
      </c>
      <c r="M71" s="194">
        <f>+'Data Inputs - 2010'!N8</f>
        <v>9056.36802649504</v>
      </c>
      <c r="N71" s="193">
        <f>SUM(B71:M71)</f>
        <v>106619.60456974119</v>
      </c>
      <c r="O71" s="190"/>
      <c r="P71" s="190"/>
      <c r="Q71" s="190"/>
      <c r="R71" s="190"/>
      <c r="S71" s="190"/>
      <c r="T71" s="190"/>
    </row>
    <row r="72" spans="1:20" ht="25.5">
      <c r="A72" s="207" t="s">
        <v>165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3"/>
      <c r="O72" s="190"/>
      <c r="P72" s="190"/>
      <c r="Q72" s="190"/>
      <c r="R72" s="190"/>
      <c r="S72" s="190"/>
      <c r="T72" s="190"/>
    </row>
    <row r="73" spans="1:20" ht="12.75">
      <c r="A73" s="191" t="s">
        <v>150</v>
      </c>
      <c r="B73" s="195">
        <f>+'Monthly Energy Allocators'!B23</f>
        <v>0</v>
      </c>
      <c r="C73" s="195">
        <f>+'Monthly Energy Allocators'!C23</f>
        <v>0</v>
      </c>
      <c r="D73" s="195">
        <f>+'Monthly Energy Allocators'!D23</f>
        <v>0</v>
      </c>
      <c r="E73" s="195">
        <f>+'Monthly Energy Allocators'!E23</f>
        <v>0</v>
      </c>
      <c r="F73" s="195">
        <f>+'Monthly Energy Allocators'!F23</f>
        <v>0</v>
      </c>
      <c r="G73" s="195">
        <f>+'Monthly Energy Allocators'!G23</f>
        <v>0</v>
      </c>
      <c r="H73" s="195">
        <f>+'Monthly Energy Allocators'!H23</f>
        <v>0</v>
      </c>
      <c r="I73" s="195">
        <f>+'Monthly Energy Allocators'!I23</f>
        <v>0</v>
      </c>
      <c r="J73" s="195">
        <f>+'Monthly Energy Allocators'!J23</f>
        <v>0</v>
      </c>
      <c r="K73" s="195">
        <f>+'Monthly Energy Allocators'!K23</f>
        <v>0</v>
      </c>
      <c r="L73" s="195">
        <f>+'Monthly Energy Allocators'!L23</f>
        <v>0</v>
      </c>
      <c r="M73" s="195">
        <f>+'Monthly Energy Allocators'!M23</f>
        <v>0</v>
      </c>
      <c r="N73" s="196">
        <f>SUM(B73:M73)</f>
        <v>0</v>
      </c>
      <c r="O73" s="190"/>
      <c r="P73" s="190"/>
      <c r="Q73" s="190"/>
      <c r="R73" s="190"/>
      <c r="S73" s="190"/>
      <c r="T73" s="190"/>
    </row>
    <row r="74" spans="1:20" ht="25.5">
      <c r="A74" s="191" t="s">
        <v>248</v>
      </c>
      <c r="B74" s="202">
        <f>+B40*'AE Calibration'!$D$5</f>
        <v>0.0350415305928301</v>
      </c>
      <c r="C74" s="202">
        <f>+C40*'AE Calibration'!$D$5</f>
        <v>0.0350415305928301</v>
      </c>
      <c r="D74" s="202">
        <f>+D40*'AE Calibration'!$D$5</f>
        <v>0.0350415305928301</v>
      </c>
      <c r="E74" s="202">
        <f>+E40*'AE Calibration'!$D$5</f>
        <v>0.0350415305928301</v>
      </c>
      <c r="F74" s="202">
        <f>+F40*'AE Calibration'!$D$5</f>
        <v>0.0350415305928301</v>
      </c>
      <c r="G74" s="202">
        <f>+G40*'AE Calibration'!$D$5</f>
        <v>0.0350415305928301</v>
      </c>
      <c r="H74" s="202">
        <f>+H40*'AE Calibration'!$D$5</f>
        <v>0.0350415305928301</v>
      </c>
      <c r="I74" s="202">
        <f>+I40*'AE Calibration'!$D$5</f>
        <v>0.0350415305928301</v>
      </c>
      <c r="J74" s="202">
        <f>+J40*'AE Calibration'!$D$5</f>
        <v>0.0350415305928301</v>
      </c>
      <c r="K74" s="202">
        <f>+K40*'AE Calibration'!$D$5</f>
        <v>0.0350415305928301</v>
      </c>
      <c r="L74" s="202">
        <f>+L40*'AE Calibration'!$D$5</f>
        <v>0.0350415305928301</v>
      </c>
      <c r="M74" s="202">
        <f>+M40*'AE Calibration'!$D$5</f>
        <v>0.0350415305928301</v>
      </c>
      <c r="N74" s="193"/>
      <c r="O74" s="190"/>
      <c r="P74" s="190"/>
      <c r="Q74" s="190"/>
      <c r="R74" s="190"/>
      <c r="S74" s="190"/>
      <c r="T74" s="190"/>
    </row>
    <row r="75" spans="1:20" ht="12.75">
      <c r="A75" s="191" t="s">
        <v>249</v>
      </c>
      <c r="B75" s="194">
        <f>+B73*B74</f>
        <v>0</v>
      </c>
      <c r="C75" s="194">
        <f aca="true" t="shared" si="17" ref="C75:M75">+C73*C74</f>
        <v>0</v>
      </c>
      <c r="D75" s="194">
        <f t="shared" si="17"/>
        <v>0</v>
      </c>
      <c r="E75" s="194">
        <f t="shared" si="17"/>
        <v>0</v>
      </c>
      <c r="F75" s="194">
        <f t="shared" si="17"/>
        <v>0</v>
      </c>
      <c r="G75" s="194">
        <f t="shared" si="17"/>
        <v>0</v>
      </c>
      <c r="H75" s="194">
        <f t="shared" si="17"/>
        <v>0</v>
      </c>
      <c r="I75" s="194">
        <f t="shared" si="17"/>
        <v>0</v>
      </c>
      <c r="J75" s="194">
        <f t="shared" si="17"/>
        <v>0</v>
      </c>
      <c r="K75" s="194">
        <f t="shared" si="17"/>
        <v>0</v>
      </c>
      <c r="L75" s="194">
        <f t="shared" si="17"/>
        <v>0</v>
      </c>
      <c r="M75" s="194">
        <f t="shared" si="17"/>
        <v>0</v>
      </c>
      <c r="N75" s="193">
        <f>SUM(B75:M75)</f>
        <v>0</v>
      </c>
      <c r="O75" s="190"/>
      <c r="P75" s="190"/>
      <c r="Q75" s="190"/>
      <c r="R75" s="190"/>
      <c r="S75" s="190"/>
      <c r="T75" s="190"/>
    </row>
    <row r="76" spans="1:20" ht="12.75">
      <c r="A76" s="191" t="s">
        <v>146</v>
      </c>
      <c r="B76" s="202">
        <f>+B42*'AE Calibration'!$D$6</f>
        <v>0.003193186094633916</v>
      </c>
      <c r="C76" s="202">
        <f>+C42*'AE Calibration'!$D$6</f>
        <v>0.003193186094633916</v>
      </c>
      <c r="D76" s="202">
        <f>+D42*'AE Calibration'!$D$6</f>
        <v>0.003193186094633916</v>
      </c>
      <c r="E76" s="202">
        <f>+E42*'AE Calibration'!$D$6</f>
        <v>0.003193186094633916</v>
      </c>
      <c r="F76" s="202">
        <f>+F42*'AE Calibration'!$D$6</f>
        <v>0.003193186094633916</v>
      </c>
      <c r="G76" s="202">
        <f>+G42*'AE Calibration'!$D$6</f>
        <v>0.003193186094633916</v>
      </c>
      <c r="H76" s="202">
        <f>+H42*'AE Calibration'!$D$6</f>
        <v>0.003193186094633916</v>
      </c>
      <c r="I76" s="202">
        <f>+I42*'AE Calibration'!$D$6</f>
        <v>0.003193186094633916</v>
      </c>
      <c r="J76" s="202">
        <f>+J42*'AE Calibration'!$D$6</f>
        <v>0.003193186094633916</v>
      </c>
      <c r="K76" s="202">
        <f>+K42*'AE Calibration'!$D$6</f>
        <v>0.003193186094633916</v>
      </c>
      <c r="L76" s="202">
        <f>+L42*'AE Calibration'!$D$6</f>
        <v>0.003193186094633916</v>
      </c>
      <c r="M76" s="202">
        <f>+M42*'AE Calibration'!$D$6</f>
        <v>0.003193186094633916</v>
      </c>
      <c r="N76" s="193"/>
      <c r="O76" s="190"/>
      <c r="P76" s="190"/>
      <c r="Q76" s="190"/>
      <c r="R76" s="190"/>
      <c r="S76" s="190"/>
      <c r="T76" s="190"/>
    </row>
    <row r="77" spans="1:20" ht="12.75">
      <c r="A77" s="191" t="s">
        <v>147</v>
      </c>
      <c r="B77" s="194">
        <f>+B73*B76</f>
        <v>0</v>
      </c>
      <c r="C77" s="194">
        <f aca="true" t="shared" si="18" ref="C77:M77">+C73*C76</f>
        <v>0</v>
      </c>
      <c r="D77" s="194">
        <f t="shared" si="18"/>
        <v>0</v>
      </c>
      <c r="E77" s="194">
        <f t="shared" si="18"/>
        <v>0</v>
      </c>
      <c r="F77" s="194">
        <f t="shared" si="18"/>
        <v>0</v>
      </c>
      <c r="G77" s="194">
        <f t="shared" si="18"/>
        <v>0</v>
      </c>
      <c r="H77" s="194">
        <f t="shared" si="18"/>
        <v>0</v>
      </c>
      <c r="I77" s="194">
        <f t="shared" si="18"/>
        <v>0</v>
      </c>
      <c r="J77" s="194">
        <f t="shared" si="18"/>
        <v>0</v>
      </c>
      <c r="K77" s="194">
        <f t="shared" si="18"/>
        <v>0</v>
      </c>
      <c r="L77" s="194">
        <f t="shared" si="18"/>
        <v>0</v>
      </c>
      <c r="M77" s="194">
        <f t="shared" si="18"/>
        <v>0</v>
      </c>
      <c r="N77" s="193">
        <f>SUM(B77:M77)</f>
        <v>0</v>
      </c>
      <c r="O77" s="190"/>
      <c r="P77" s="190"/>
      <c r="Q77" s="190"/>
      <c r="R77" s="190"/>
      <c r="S77" s="190"/>
      <c r="T77" s="190"/>
    </row>
    <row r="78" spans="1:20" ht="12.75">
      <c r="A78" s="191" t="s">
        <v>148</v>
      </c>
      <c r="B78" s="202">
        <f>+B44*'AE Calibration'!$D$7</f>
        <v>0.0018097680328137006</v>
      </c>
      <c r="C78" s="202">
        <f>+C44*'AE Calibration'!$D$7</f>
        <v>0.0018097680328137006</v>
      </c>
      <c r="D78" s="202">
        <f>+D44*'AE Calibration'!$D$7</f>
        <v>0.0018097680328137006</v>
      </c>
      <c r="E78" s="202">
        <f>+E44*'AE Calibration'!$D$7</f>
        <v>0.0018097680328137006</v>
      </c>
      <c r="F78" s="202">
        <f>+F44*'AE Calibration'!$D$7</f>
        <v>0.0018097680328137006</v>
      </c>
      <c r="G78" s="202">
        <f>+G44*'AE Calibration'!$D$7</f>
        <v>0.0018097680328137006</v>
      </c>
      <c r="H78" s="202">
        <f>+H44*'AE Calibration'!$D$7</f>
        <v>0.0018097680328137006</v>
      </c>
      <c r="I78" s="202">
        <f>+I44*'AE Calibration'!$D$7</f>
        <v>0.0018097680328137006</v>
      </c>
      <c r="J78" s="202">
        <f>+J44*'AE Calibration'!$D$7</f>
        <v>0.0018097680328137006</v>
      </c>
      <c r="K78" s="202">
        <f>+K44*'AE Calibration'!$D$7</f>
        <v>0.0018097680328137006</v>
      </c>
      <c r="L78" s="202">
        <f>+L44*'AE Calibration'!$D$7</f>
        <v>0.0018097680328137006</v>
      </c>
      <c r="M78" s="202">
        <f>+M44*'AE Calibration'!$D$7</f>
        <v>0.0018097680328137006</v>
      </c>
      <c r="N78" s="193"/>
      <c r="O78" s="190"/>
      <c r="P78" s="190"/>
      <c r="Q78" s="190"/>
      <c r="R78" s="190"/>
      <c r="S78" s="190"/>
      <c r="T78" s="190"/>
    </row>
    <row r="79" spans="1:20" ht="12.75">
      <c r="A79" s="191" t="s">
        <v>149</v>
      </c>
      <c r="B79" s="194">
        <f>+B73*B78</f>
        <v>0</v>
      </c>
      <c r="C79" s="194">
        <f aca="true" t="shared" si="19" ref="C79:M79">+C73*C78</f>
        <v>0</v>
      </c>
      <c r="D79" s="194">
        <f t="shared" si="19"/>
        <v>0</v>
      </c>
      <c r="E79" s="194">
        <f t="shared" si="19"/>
        <v>0</v>
      </c>
      <c r="F79" s="194">
        <f t="shared" si="19"/>
        <v>0</v>
      </c>
      <c r="G79" s="194">
        <f t="shared" si="19"/>
        <v>0</v>
      </c>
      <c r="H79" s="194">
        <f t="shared" si="19"/>
        <v>0</v>
      </c>
      <c r="I79" s="194">
        <f t="shared" si="19"/>
        <v>0</v>
      </c>
      <c r="J79" s="194">
        <f t="shared" si="19"/>
        <v>0</v>
      </c>
      <c r="K79" s="194">
        <f t="shared" si="19"/>
        <v>0</v>
      </c>
      <c r="L79" s="194">
        <f t="shared" si="19"/>
        <v>0</v>
      </c>
      <c r="M79" s="194">
        <f t="shared" si="19"/>
        <v>0</v>
      </c>
      <c r="N79" s="193">
        <f>SUM(B79:M79)</f>
        <v>0</v>
      </c>
      <c r="O79" s="190"/>
      <c r="P79" s="190"/>
      <c r="Q79" s="190"/>
      <c r="R79" s="190"/>
      <c r="S79" s="190"/>
      <c r="T79" s="190"/>
    </row>
    <row r="80" spans="1:20" ht="12.75">
      <c r="A80" s="206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3"/>
      <c r="O80" s="190"/>
      <c r="P80" s="190"/>
      <c r="Q80" s="190"/>
      <c r="R80" s="190"/>
      <c r="S80" s="190"/>
      <c r="T80" s="190"/>
    </row>
    <row r="81" spans="1:20" ht="12.75">
      <c r="A81" s="206" t="s">
        <v>61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3"/>
      <c r="O81" s="190"/>
      <c r="P81" s="190"/>
      <c r="Q81" s="190"/>
      <c r="R81" s="190"/>
      <c r="S81" s="190"/>
      <c r="T81" s="190"/>
    </row>
    <row r="82" spans="1:20" ht="12.75">
      <c r="A82" s="206" t="s">
        <v>68</v>
      </c>
      <c r="B82" s="195">
        <f>+'Data Inputs - 2010'!C51</f>
        <v>168427184</v>
      </c>
      <c r="C82" s="195">
        <f>+'Data Inputs - 2010'!D51</f>
        <v>152293184</v>
      </c>
      <c r="D82" s="195">
        <f>+'Data Inputs - 2010'!E51</f>
        <v>164019702</v>
      </c>
      <c r="E82" s="195">
        <f>+'Data Inputs - 2010'!F51</f>
        <v>148745494</v>
      </c>
      <c r="F82" s="195">
        <f>+'Data Inputs - 2010'!G51</f>
        <v>156390545</v>
      </c>
      <c r="G82" s="195">
        <f>+'Data Inputs - 2010'!H51</f>
        <v>163571376</v>
      </c>
      <c r="H82" s="195">
        <f>+'Data Inputs - 2010'!I51</f>
        <v>169045208</v>
      </c>
      <c r="I82" s="195">
        <f>+'Data Inputs - 2010'!J51</f>
        <v>168979474</v>
      </c>
      <c r="J82" s="195">
        <f>+'Data Inputs - 2010'!K51</f>
        <v>163334786</v>
      </c>
      <c r="K82" s="195">
        <f>+'Data Inputs - 2010'!L51</f>
        <v>166327148</v>
      </c>
      <c r="L82" s="195">
        <f>+'Data Inputs - 2010'!M51</f>
        <v>145846994</v>
      </c>
      <c r="M82" s="195">
        <f>+'Data Inputs - 2010'!N51</f>
        <v>164059346</v>
      </c>
      <c r="N82" s="196">
        <f>SUM(B82:M82)</f>
        <v>1931040441</v>
      </c>
      <c r="O82" s="190"/>
      <c r="P82" s="190"/>
      <c r="Q82" s="190"/>
      <c r="R82" s="190"/>
      <c r="S82" s="190"/>
      <c r="T82" s="190"/>
    </row>
    <row r="83" spans="1:20" ht="12.75">
      <c r="A83" s="206" t="s">
        <v>211</v>
      </c>
      <c r="B83" s="194">
        <f>'Data Inputs - 2010'!C52</f>
        <v>663648.28</v>
      </c>
      <c r="C83" s="194">
        <f>'Data Inputs - 2010'!D52</f>
        <v>557794.2</v>
      </c>
      <c r="D83" s="194">
        <f>'Data Inputs - 2010'!E52</f>
        <v>473089.52</v>
      </c>
      <c r="E83" s="194">
        <f>'Data Inputs - 2010'!F52</f>
        <v>396656.66</v>
      </c>
      <c r="F83" s="194">
        <f>'Data Inputs - 2010'!G52</f>
        <v>369658.11</v>
      </c>
      <c r="G83" s="194">
        <f>'Data Inputs - 2010'!H52</f>
        <v>270201.61</v>
      </c>
      <c r="H83" s="194">
        <f>'Data Inputs - 2010'!I52</f>
        <v>707846.729218695</v>
      </c>
      <c r="I83" s="194">
        <f>'Data Inputs - 2010'!J52</f>
        <v>497596.67</v>
      </c>
      <c r="J83" s="194">
        <f>'Data Inputs - 2010'!K52</f>
        <v>390047.5</v>
      </c>
      <c r="K83" s="194">
        <f>'Data Inputs - 2010'!L52</f>
        <v>342335.02</v>
      </c>
      <c r="L83" s="194">
        <f>'Data Inputs - 2010'!M52</f>
        <v>280907.83</v>
      </c>
      <c r="M83" s="194">
        <f>'Data Inputs - 2010'!N52</f>
        <v>549873.04</v>
      </c>
      <c r="N83" s="193">
        <f>SUM(B83:M83)</f>
        <v>5499655.169218694</v>
      </c>
      <c r="O83" s="190"/>
      <c r="P83" s="190"/>
      <c r="Q83" s="190"/>
      <c r="R83" s="190"/>
      <c r="S83" s="190"/>
      <c r="T83" s="190"/>
    </row>
    <row r="84" spans="1:20" ht="12.75">
      <c r="A84" s="206" t="s">
        <v>212</v>
      </c>
      <c r="B84" s="194">
        <f>'Data Inputs - 2010'!C53</f>
        <v>-937900.2823929903</v>
      </c>
      <c r="C84" s="194">
        <f>'Data Inputs - 2010'!D53</f>
        <v>-1011318.43110354</v>
      </c>
      <c r="D84" s="194">
        <f>'Data Inputs - 2010'!E53</f>
        <v>-774072.87465</v>
      </c>
      <c r="E84" s="194">
        <f>'Data Inputs - 2010'!F53</f>
        <v>-617012.68</v>
      </c>
      <c r="F84" s="194">
        <f>'Data Inputs - 2010'!G53</f>
        <v>-919424.28515</v>
      </c>
      <c r="G84" s="194">
        <f>'Data Inputs - 2010'!H53</f>
        <v>-941765.12</v>
      </c>
      <c r="H84" s="194">
        <f>'Data Inputs - 2010'!I53</f>
        <v>-485049.40615</v>
      </c>
      <c r="I84" s="194">
        <f>'Data Inputs - 2010'!J53</f>
        <v>-548128.15035</v>
      </c>
      <c r="J84" s="194">
        <f>'Data Inputs - 2010'!K53</f>
        <v>-644460.28</v>
      </c>
      <c r="K84" s="194">
        <f>'Data Inputs - 2010'!L53</f>
        <v>-981621.35</v>
      </c>
      <c r="L84" s="194">
        <f>'Data Inputs - 2010'!M53</f>
        <v>-1189966.1065050997</v>
      </c>
      <c r="M84" s="194">
        <f>'Data Inputs - 2010'!N53</f>
        <v>-1173590.1565799487</v>
      </c>
      <c r="N84" s="193">
        <f>SUM(B84:M84)</f>
        <v>-10224309.12288158</v>
      </c>
      <c r="O84" s="190"/>
      <c r="P84" s="190"/>
      <c r="Q84" s="190"/>
      <c r="R84" s="190"/>
      <c r="S84" s="190"/>
      <c r="T84" s="190"/>
    </row>
    <row r="85" spans="1:20" ht="12.75">
      <c r="A85" s="206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3"/>
      <c r="O85" s="190"/>
      <c r="P85" s="190"/>
      <c r="Q85" s="190"/>
      <c r="R85" s="190"/>
      <c r="S85" s="190"/>
      <c r="T85" s="190"/>
    </row>
    <row r="86" spans="1:20" ht="12.75">
      <c r="A86" s="209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193"/>
      <c r="O86" s="190"/>
      <c r="P86" s="190"/>
      <c r="Q86" s="190"/>
      <c r="R86" s="190"/>
      <c r="S86" s="190"/>
      <c r="T86" s="190"/>
    </row>
    <row r="87" spans="1:20" ht="12.75">
      <c r="A87" s="206" t="s">
        <v>73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3"/>
      <c r="O87" s="190"/>
      <c r="P87" s="190"/>
      <c r="Q87" s="190"/>
      <c r="R87" s="190"/>
      <c r="S87" s="190"/>
      <c r="T87" s="190"/>
    </row>
    <row r="88" spans="1:20" ht="12.75">
      <c r="A88" s="209" t="s">
        <v>250</v>
      </c>
      <c r="B88" s="194">
        <f>+B54+B67+B71+B75+B83+B84</f>
        <v>359167.4526667809</v>
      </c>
      <c r="C88" s="194">
        <f aca="true" t="shared" si="20" ref="C88:L88">+C54+C67+C71+C75+C83+C84</f>
        <v>91930.80325242423</v>
      </c>
      <c r="D88" s="194">
        <f t="shared" si="20"/>
        <v>280695.94820168626</v>
      </c>
      <c r="E88" s="194">
        <f t="shared" si="20"/>
        <v>232509.62994034204</v>
      </c>
      <c r="F88" s="194">
        <f t="shared" si="20"/>
        <v>4449.897481515305</v>
      </c>
      <c r="G88" s="194">
        <f t="shared" si="20"/>
        <v>-172310.72379932262</v>
      </c>
      <c r="H88" s="194">
        <f t="shared" si="20"/>
        <v>900225.5331284662</v>
      </c>
      <c r="I88" s="194">
        <f t="shared" si="20"/>
        <v>702334.0547097714</v>
      </c>
      <c r="J88" s="194">
        <f t="shared" si="20"/>
        <v>678828.1760657371</v>
      </c>
      <c r="K88" s="194">
        <f t="shared" si="20"/>
        <v>-29423.072890228592</v>
      </c>
      <c r="L88" s="194">
        <f t="shared" si="20"/>
        <v>-286451.2700312778</v>
      </c>
      <c r="M88" s="194">
        <f>+M54+M67+M71+M75+M83+M84</f>
        <v>-125359.58652017755</v>
      </c>
      <c r="N88" s="193">
        <f>SUM(B88:M88)</f>
        <v>2636596.842205717</v>
      </c>
      <c r="O88" s="190"/>
      <c r="P88" s="190"/>
      <c r="Q88" s="190"/>
      <c r="R88" s="190"/>
      <c r="S88" s="190"/>
      <c r="T88" s="190"/>
    </row>
    <row r="89" spans="1:20" ht="12.75">
      <c r="A89" s="209" t="s">
        <v>168</v>
      </c>
      <c r="B89" s="194">
        <f>+B57+B77</f>
        <v>50771.438168159715</v>
      </c>
      <c r="C89" s="194">
        <f aca="true" t="shared" si="21" ref="C89:M89">+C57+C77</f>
        <v>40864.816086567575</v>
      </c>
      <c r="D89" s="194">
        <f t="shared" si="21"/>
        <v>50633.84619480427</v>
      </c>
      <c r="E89" s="194">
        <f t="shared" si="21"/>
        <v>33022.07360530713</v>
      </c>
      <c r="F89" s="194">
        <f t="shared" si="21"/>
        <v>34122.8093921507</v>
      </c>
      <c r="G89" s="194">
        <f t="shared" si="21"/>
        <v>40262.50394720474</v>
      </c>
      <c r="H89" s="194">
        <f t="shared" si="21"/>
        <v>50771.43816815972</v>
      </c>
      <c r="I89" s="194">
        <f t="shared" si="21"/>
        <v>50771.43816815972</v>
      </c>
      <c r="J89" s="194">
        <f t="shared" si="21"/>
        <v>47469.230807629</v>
      </c>
      <c r="K89" s="194">
        <f t="shared" si="21"/>
        <v>50771.43816815972</v>
      </c>
      <c r="L89" s="194">
        <f t="shared" si="21"/>
        <v>47606.82278098445</v>
      </c>
      <c r="M89" s="194">
        <f t="shared" si="21"/>
        <v>50771.438168159715</v>
      </c>
      <c r="N89" s="193">
        <f>SUM(B89:M89)</f>
        <v>547839.2936554465</v>
      </c>
      <c r="O89" s="190"/>
      <c r="P89" s="190"/>
      <c r="Q89" s="190"/>
      <c r="R89" s="190"/>
      <c r="S89" s="190"/>
      <c r="T89" s="190"/>
    </row>
    <row r="90" spans="1:20" ht="12.75">
      <c r="A90" s="209" t="s">
        <v>167</v>
      </c>
      <c r="B90" s="194">
        <f>+B59+B79</f>
        <v>28813.38086821133</v>
      </c>
      <c r="C90" s="194">
        <f aca="true" t="shared" si="22" ref="C90:M90">+C59+C79</f>
        <v>23191.25777197497</v>
      </c>
      <c r="D90" s="194">
        <f t="shared" si="22"/>
        <v>28735.295825208046</v>
      </c>
      <c r="E90" s="194">
        <f t="shared" si="22"/>
        <v>18740.410320787854</v>
      </c>
      <c r="F90" s="194">
        <f t="shared" si="22"/>
        <v>19365.090664814117</v>
      </c>
      <c r="G90" s="194">
        <f t="shared" si="22"/>
        <v>22849.43863706041</v>
      </c>
      <c r="H90" s="194">
        <f t="shared" si="22"/>
        <v>28813.38086821133</v>
      </c>
      <c r="I90" s="194">
        <f t="shared" si="22"/>
        <v>28813.38086821133</v>
      </c>
      <c r="J90" s="194">
        <f t="shared" si="22"/>
        <v>26939.33983613254</v>
      </c>
      <c r="K90" s="194">
        <f t="shared" si="22"/>
        <v>28813.38086821133</v>
      </c>
      <c r="L90" s="194">
        <f t="shared" si="22"/>
        <v>27017.424879135826</v>
      </c>
      <c r="M90" s="194">
        <f t="shared" si="22"/>
        <v>28813.38086821133</v>
      </c>
      <c r="N90" s="193">
        <f>SUM(B90:M90)</f>
        <v>310905.1622761704</v>
      </c>
      <c r="O90" s="190"/>
      <c r="P90" s="190"/>
      <c r="Q90" s="190"/>
      <c r="R90" s="190"/>
      <c r="S90" s="190"/>
      <c r="T90" s="190"/>
    </row>
    <row r="91" spans="1:20" ht="12.75">
      <c r="A91" s="209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3"/>
      <c r="O91" s="190"/>
      <c r="P91" s="190"/>
      <c r="Q91" s="190"/>
      <c r="R91" s="190"/>
      <c r="S91" s="190"/>
      <c r="T91" s="190"/>
    </row>
    <row r="92" spans="1:20" ht="12.75">
      <c r="A92" s="203" t="s">
        <v>74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3"/>
      <c r="O92" s="190"/>
      <c r="P92" s="190"/>
      <c r="Q92" s="190"/>
      <c r="R92" s="190"/>
      <c r="S92" s="190"/>
      <c r="T92" s="190"/>
    </row>
    <row r="93" spans="1:20" ht="12.75">
      <c r="A93" s="191" t="s">
        <v>251</v>
      </c>
      <c r="B93" s="210">
        <f>+B7</f>
        <v>56692315</v>
      </c>
      <c r="C93" s="210">
        <f aca="true" t="shared" si="23" ref="C93:M93">+C7</f>
        <v>50792255</v>
      </c>
      <c r="D93" s="210">
        <f t="shared" si="23"/>
        <v>55838952.99999999</v>
      </c>
      <c r="E93" s="210">
        <f t="shared" si="23"/>
        <v>35982177</v>
      </c>
      <c r="F93" s="210">
        <f t="shared" si="23"/>
        <v>38109912</v>
      </c>
      <c r="G93" s="210">
        <f t="shared" si="23"/>
        <v>32766110.93</v>
      </c>
      <c r="H93" s="210">
        <f t="shared" si="23"/>
        <v>40202940</v>
      </c>
      <c r="I93" s="210">
        <f t="shared" si="23"/>
        <v>43687158</v>
      </c>
      <c r="J93" s="210">
        <f t="shared" si="23"/>
        <v>35780099.00000001</v>
      </c>
      <c r="K93" s="210">
        <f t="shared" si="23"/>
        <v>36121795.99999999</v>
      </c>
      <c r="L93" s="210">
        <f t="shared" si="23"/>
        <v>38392862.999999985</v>
      </c>
      <c r="M93" s="210">
        <f t="shared" si="23"/>
        <v>45440110</v>
      </c>
      <c r="N93" s="193">
        <f>SUM(B93:M93)</f>
        <v>509806688.93</v>
      </c>
      <c r="O93" s="190"/>
      <c r="P93" s="190"/>
      <c r="Q93" s="190"/>
      <c r="R93" s="190"/>
      <c r="S93" s="190"/>
      <c r="T93" s="190"/>
    </row>
    <row r="94" spans="1:20" ht="12.75">
      <c r="A94" s="209" t="s">
        <v>252</v>
      </c>
      <c r="B94" s="194">
        <f>+B88</f>
        <v>359167.4526667809</v>
      </c>
      <c r="C94" s="194">
        <f aca="true" t="shared" si="24" ref="C94:L94">+C88</f>
        <v>91930.80325242423</v>
      </c>
      <c r="D94" s="194">
        <f t="shared" si="24"/>
        <v>280695.94820168626</v>
      </c>
      <c r="E94" s="194">
        <f t="shared" si="24"/>
        <v>232509.62994034204</v>
      </c>
      <c r="F94" s="194">
        <f t="shared" si="24"/>
        <v>4449.897481515305</v>
      </c>
      <c r="G94" s="194">
        <f t="shared" si="24"/>
        <v>-172310.72379932262</v>
      </c>
      <c r="H94" s="194">
        <f t="shared" si="24"/>
        <v>900225.5331284662</v>
      </c>
      <c r="I94" s="194">
        <f t="shared" si="24"/>
        <v>702334.0547097714</v>
      </c>
      <c r="J94" s="194">
        <f t="shared" si="24"/>
        <v>678828.1760657371</v>
      </c>
      <c r="K94" s="194">
        <f t="shared" si="24"/>
        <v>-29423.072890228592</v>
      </c>
      <c r="L94" s="194">
        <f t="shared" si="24"/>
        <v>-286451.2700312778</v>
      </c>
      <c r="M94" s="194">
        <f>+M88</f>
        <v>-125359.58652017755</v>
      </c>
      <c r="N94" s="193">
        <f>SUM(B94:M94)</f>
        <v>2636596.842205717</v>
      </c>
      <c r="O94" s="190"/>
      <c r="P94" s="190"/>
      <c r="Q94" s="190"/>
      <c r="R94" s="190"/>
      <c r="S94" s="190"/>
      <c r="T94" s="190"/>
    </row>
    <row r="95" spans="1:20" ht="12.75">
      <c r="A95" s="209" t="s">
        <v>75</v>
      </c>
      <c r="B95" s="194">
        <f aca="true" t="shared" si="25" ref="B95:L95">+B93-B94</f>
        <v>56333147.54733322</v>
      </c>
      <c r="C95" s="194">
        <f t="shared" si="25"/>
        <v>50700324.19674758</v>
      </c>
      <c r="D95" s="194">
        <f t="shared" si="25"/>
        <v>55558257.05179831</v>
      </c>
      <c r="E95" s="194">
        <f t="shared" si="25"/>
        <v>35749667.37005966</v>
      </c>
      <c r="F95" s="194">
        <f t="shared" si="25"/>
        <v>38105462.102518484</v>
      </c>
      <c r="G95" s="194">
        <f t="shared" si="25"/>
        <v>32938421.65379932</v>
      </c>
      <c r="H95" s="194">
        <f t="shared" si="25"/>
        <v>39302714.46687154</v>
      </c>
      <c r="I95" s="194">
        <f t="shared" si="25"/>
        <v>42984823.94529023</v>
      </c>
      <c r="J95" s="194">
        <f t="shared" si="25"/>
        <v>35101270.82393427</v>
      </c>
      <c r="K95" s="194">
        <f t="shared" si="25"/>
        <v>36151219.07289022</v>
      </c>
      <c r="L95" s="194">
        <f t="shared" si="25"/>
        <v>38679314.270031266</v>
      </c>
      <c r="M95" s="194">
        <f>+M93-M94</f>
        <v>45565469.58652018</v>
      </c>
      <c r="N95" s="193">
        <f>SUM(B95:M95)</f>
        <v>507170092.08779424</v>
      </c>
      <c r="O95" s="190"/>
      <c r="P95" s="190"/>
      <c r="Q95" s="190"/>
      <c r="R95" s="190"/>
      <c r="S95" s="190"/>
      <c r="T95" s="190"/>
    </row>
    <row r="96" spans="1:20" ht="12.75">
      <c r="A96" s="209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211"/>
      <c r="O96" s="190"/>
      <c r="P96" s="190"/>
      <c r="Q96" s="190"/>
      <c r="R96" s="190"/>
      <c r="S96" s="190"/>
      <c r="T96" s="190"/>
    </row>
    <row r="98" ht="12.75">
      <c r="A98" s="212" t="s">
        <v>76</v>
      </c>
    </row>
    <row r="99" spans="1:14" ht="12.75">
      <c r="A99" s="213" t="s">
        <v>60</v>
      </c>
      <c r="B99" s="194">
        <f>+B$95*'Monthly Energy Allocators'!B114</f>
        <v>25674476.01065317</v>
      </c>
      <c r="C99" s="194">
        <f>+C$95*'Monthly Energy Allocators'!C114</f>
        <v>23580339.49536501</v>
      </c>
      <c r="D99" s="194">
        <f>+D$95*'Monthly Energy Allocators'!D114</f>
        <v>23650831.33992788</v>
      </c>
      <c r="E99" s="194">
        <f>+E$95*'Monthly Energy Allocators'!E114</f>
        <v>13916054.694485389</v>
      </c>
      <c r="F99" s="194">
        <f>+F$95*'Monthly Energy Allocators'!F114</f>
        <v>13952445.081863409</v>
      </c>
      <c r="G99" s="194">
        <f>+G$95*'Monthly Energy Allocators'!G114</f>
        <v>10443961.36198879</v>
      </c>
      <c r="H99" s="194">
        <f>+H$95*'Monthly Energy Allocators'!H114</f>
        <v>12464202.865268078</v>
      </c>
      <c r="I99" s="194">
        <f>+I$95*'Monthly Energy Allocators'!I114</f>
        <v>13715199.158115052</v>
      </c>
      <c r="J99" s="194">
        <f>+J$95*'Monthly Energy Allocators'!J114</f>
        <v>11305065.687794855</v>
      </c>
      <c r="K99" s="194">
        <f>+K$95*'Monthly Energy Allocators'!K114</f>
        <v>12714003.821699087</v>
      </c>
      <c r="L99" s="194">
        <f>+L$95*'Monthly Energy Allocators'!L114</f>
        <v>15685918.129762113</v>
      </c>
      <c r="M99" s="194">
        <f>+M$95*'Monthly Energy Allocators'!M114</f>
        <v>19666207.236632343</v>
      </c>
      <c r="N99" s="214">
        <f>SUM(B99:M99)</f>
        <v>196768704.88355517</v>
      </c>
    </row>
    <row r="100" spans="1:14" ht="12.75">
      <c r="A100" s="213" t="s">
        <v>52</v>
      </c>
      <c r="B100" s="194">
        <f>+B$95*'Monthly Energy Allocators'!B115</f>
        <v>1178394.8290311252</v>
      </c>
      <c r="C100" s="194">
        <f>+C$95*'Monthly Energy Allocators'!C115</f>
        <v>928964.571488797</v>
      </c>
      <c r="D100" s="194">
        <f>+D$95*'Monthly Energy Allocators'!D115</f>
        <v>1070151.7707801033</v>
      </c>
      <c r="E100" s="194">
        <f>+E$95*'Monthly Energy Allocators'!E115</f>
        <v>726228.2819002216</v>
      </c>
      <c r="F100" s="194">
        <f>+F$95*'Monthly Energy Allocators'!F115</f>
        <v>1055442.4805517225</v>
      </c>
      <c r="G100" s="194">
        <f>+G$95*'Monthly Energy Allocators'!G115</f>
        <v>780616.1711505558</v>
      </c>
      <c r="H100" s="194">
        <f>+H$95*'Monthly Energy Allocators'!H115</f>
        <v>896781.3150519343</v>
      </c>
      <c r="I100" s="194">
        <f>+I$95*'Monthly Energy Allocators'!I115</f>
        <v>976408.2937585441</v>
      </c>
      <c r="J100" s="194">
        <f>+J$95*'Monthly Energy Allocators'!J115</f>
        <v>724719.5884408631</v>
      </c>
      <c r="K100" s="194">
        <f>+K$95*'Monthly Energy Allocators'!K115</f>
        <v>764698.2808218463</v>
      </c>
      <c r="L100" s="194">
        <f>+L$95*'Monthly Energy Allocators'!L115</f>
        <v>815926.1635512871</v>
      </c>
      <c r="M100" s="194">
        <f>+M$95*'Monthly Energy Allocators'!M115</f>
        <v>953627.6845738773</v>
      </c>
      <c r="N100" s="214">
        <f>SUM(B100:M100)</f>
        <v>10871959.431100879</v>
      </c>
    </row>
    <row r="101" spans="1:14" ht="12.75">
      <c r="A101" s="213" t="s">
        <v>53</v>
      </c>
      <c r="B101" s="194">
        <f>+B$95*'Monthly Energy Allocators'!B116</f>
        <v>11924478.913336305</v>
      </c>
      <c r="C101" s="194">
        <f>+C$95*'Monthly Energy Allocators'!C116</f>
        <v>10526394.405321639</v>
      </c>
      <c r="D101" s="194">
        <f>+D$95*'Monthly Energy Allocators'!D116</f>
        <v>11992576.31186645</v>
      </c>
      <c r="E101" s="194">
        <f>+E$95*'Monthly Energy Allocators'!E116</f>
        <v>7921798.536987837</v>
      </c>
      <c r="F101" s="194">
        <f>+F$95*'Monthly Energy Allocators'!F116</f>
        <v>7937549.01474154</v>
      </c>
      <c r="G101" s="194">
        <f>+G$95*'Monthly Energy Allocators'!G116</f>
        <v>7638897.463971105</v>
      </c>
      <c r="H101" s="194">
        <f>+H$95*'Monthly Energy Allocators'!H116</f>
        <v>9261364.490945201</v>
      </c>
      <c r="I101" s="194">
        <f>+I$95*'Monthly Energy Allocators'!I116</f>
        <v>9867941.28058481</v>
      </c>
      <c r="J101" s="194">
        <f>+J$95*'Monthly Energy Allocators'!J116</f>
        <v>7701425.073456118</v>
      </c>
      <c r="K101" s="194">
        <f>+K$95*'Monthly Energy Allocators'!K116</f>
        <v>7972872.373118616</v>
      </c>
      <c r="L101" s="194">
        <f>+L$95*'Monthly Energy Allocators'!L116</f>
        <v>8137785.457429622</v>
      </c>
      <c r="M101" s="194">
        <f>+M$95*'Monthly Energy Allocators'!M116</f>
        <v>9453376.988560721</v>
      </c>
      <c r="N101" s="214">
        <f aca="true" t="shared" si="26" ref="N101:N108">SUM(B101:M101)</f>
        <v>110336460.31031996</v>
      </c>
    </row>
    <row r="102" spans="1:14" ht="12.75">
      <c r="A102" s="188" t="s">
        <v>54</v>
      </c>
      <c r="B102" s="215">
        <f>+B$95*'Monthly Energy Allocators'!B117</f>
        <v>1717491.2246788621</v>
      </c>
      <c r="C102" s="215">
        <f>+C$95*'Monthly Energy Allocators'!C117</f>
        <v>1555023.8020230387</v>
      </c>
      <c r="D102" s="215">
        <f>+D$95*'Monthly Energy Allocators'!D117</f>
        <v>1846989.8408949724</v>
      </c>
      <c r="E102" s="215">
        <f>+E$95*'Monthly Energy Allocators'!E117</f>
        <v>1282295.8563338493</v>
      </c>
      <c r="F102" s="215">
        <f>+F$95*'Monthly Energy Allocators'!F117</f>
        <v>1409721.7391794845</v>
      </c>
      <c r="G102" s="215">
        <f>+G$95*'Monthly Energy Allocators'!G117</f>
        <v>1368220.7313587887</v>
      </c>
      <c r="H102" s="215">
        <f>+H$95*'Monthly Energy Allocators'!H117</f>
        <v>1744961.9999351304</v>
      </c>
      <c r="I102" s="215">
        <f>+I$95*'Monthly Energy Allocators'!I117</f>
        <v>1891764.8923457623</v>
      </c>
      <c r="J102" s="215">
        <f>+J$95*'Monthly Energy Allocators'!J117</f>
        <v>1522169.5211613183</v>
      </c>
      <c r="K102" s="215">
        <f>+K$95*'Monthly Energy Allocators'!K117</f>
        <v>1398019.160986539</v>
      </c>
      <c r="L102" s="215">
        <f>+L$95*'Monthly Energy Allocators'!L117</f>
        <v>1376729.4854025196</v>
      </c>
      <c r="M102" s="215">
        <f>+M$95*'Monthly Energy Allocators'!M117</f>
        <v>1461553.4527524677</v>
      </c>
      <c r="N102" s="216">
        <f t="shared" si="26"/>
        <v>18574941.70705273</v>
      </c>
    </row>
    <row r="103" spans="1:14" ht="12.75">
      <c r="A103" s="213" t="s">
        <v>55</v>
      </c>
      <c r="B103" s="194">
        <f>+B$95*'Monthly Energy Allocators'!B118</f>
        <v>1229544.1586881063</v>
      </c>
      <c r="C103" s="194">
        <f>+C$95*'Monthly Energy Allocators'!C118</f>
        <v>927323.3622024271</v>
      </c>
      <c r="D103" s="194">
        <f>+D$95*'Monthly Energy Allocators'!D118</f>
        <v>1196741.8794694599</v>
      </c>
      <c r="E103" s="194">
        <f>+E$95*'Monthly Energy Allocators'!E118</f>
        <v>773213.244869108</v>
      </c>
      <c r="F103" s="194">
        <f>+F$95*'Monthly Energy Allocators'!F118</f>
        <v>990329.4654439939</v>
      </c>
      <c r="G103" s="194">
        <f>+G$95*'Monthly Energy Allocators'!G118</f>
        <v>825450.9649849623</v>
      </c>
      <c r="H103" s="194">
        <f>+H$95*'Monthly Energy Allocators'!H118</f>
        <v>1060127.63203467</v>
      </c>
      <c r="I103" s="194">
        <f>+I$95*'Monthly Energy Allocators'!I118</f>
        <v>985203.7801245031</v>
      </c>
      <c r="J103" s="194">
        <f>+J$95*'Monthly Energy Allocators'!J118</f>
        <v>891052.8538019027</v>
      </c>
      <c r="K103" s="194">
        <f>+K$95*'Monthly Energy Allocators'!K118</f>
        <v>705472.8289785391</v>
      </c>
      <c r="L103" s="194">
        <f>+L$95*'Monthly Energy Allocators'!L118</f>
        <v>863285.5991243734</v>
      </c>
      <c r="M103" s="194">
        <f>+M$95*'Monthly Energy Allocators'!M118</f>
        <v>960963.3610108469</v>
      </c>
      <c r="N103" s="214">
        <f t="shared" si="26"/>
        <v>11408709.130732894</v>
      </c>
    </row>
    <row r="104" spans="1:14" ht="12.75">
      <c r="A104" s="213" t="s">
        <v>56</v>
      </c>
      <c r="B104" s="194">
        <f>+B$95*'Monthly Energy Allocators'!B119</f>
        <v>1826778.4282295194</v>
      </c>
      <c r="C104" s="194">
        <f>+C$95*'Monthly Energy Allocators'!C119</f>
        <v>1754931.1572321414</v>
      </c>
      <c r="D104" s="194">
        <f>+D$95*'Monthly Energy Allocators'!D119</f>
        <v>2104912.2031837115</v>
      </c>
      <c r="E104" s="194">
        <f>+E$95*'Monthly Energy Allocators'!E119</f>
        <v>1537193.3470347547</v>
      </c>
      <c r="F104" s="194">
        <f>+F$95*'Monthly Energy Allocators'!F119</f>
        <v>1807434.6489564888</v>
      </c>
      <c r="G104" s="194">
        <f>+G$95*'Monthly Energy Allocators'!G119</f>
        <v>1664508.4157876451</v>
      </c>
      <c r="H104" s="194">
        <f>+H$95*'Monthly Energy Allocators'!H119</f>
        <v>2035055.896946108</v>
      </c>
      <c r="I104" s="194">
        <f>+I$95*'Monthly Energy Allocators'!I119</f>
        <v>2111477.0080958395</v>
      </c>
      <c r="J104" s="194">
        <f>+J$95*'Monthly Energy Allocators'!J119</f>
        <v>1773354.5655696157</v>
      </c>
      <c r="K104" s="194">
        <f>+K$95*'Monthly Energy Allocators'!K119</f>
        <v>1632392.5512371245</v>
      </c>
      <c r="L104" s="194">
        <f>+L$95*'Monthly Energy Allocators'!L119</f>
        <v>1712333.1088033863</v>
      </c>
      <c r="M104" s="194">
        <f>+M$95*'Monthly Energy Allocators'!M119</f>
        <v>1888888.732556043</v>
      </c>
      <c r="N104" s="214">
        <f t="shared" si="26"/>
        <v>21849260.063632376</v>
      </c>
    </row>
    <row r="105" spans="1:14" ht="12.75">
      <c r="A105" s="213" t="s">
        <v>57</v>
      </c>
      <c r="B105" s="194">
        <f>+B$95*'Monthly Energy Allocators'!B120</f>
        <v>3549433.9364746497</v>
      </c>
      <c r="C105" s="194">
        <f>+C$95*'Monthly Energy Allocators'!C120</f>
        <v>3157685.728808522</v>
      </c>
      <c r="D105" s="194">
        <f>+D$95*'Monthly Energy Allocators'!D120</f>
        <v>3954137.144458017</v>
      </c>
      <c r="E105" s="194">
        <f>+E$95*'Monthly Energy Allocators'!E120</f>
        <v>2986194.343258477</v>
      </c>
      <c r="F105" s="194">
        <f>+F$95*'Monthly Energy Allocators'!F120</f>
        <v>3382452.5811652555</v>
      </c>
      <c r="G105" s="194">
        <f>+G$95*'Monthly Energy Allocators'!G120</f>
        <v>2929238.9546583104</v>
      </c>
      <c r="H105" s="194">
        <f>+H$95*'Monthly Energy Allocators'!H120</f>
        <v>3437795.213182707</v>
      </c>
      <c r="I105" s="194">
        <f>+I$95*'Monthly Energy Allocators'!I120</f>
        <v>4224283.248011903</v>
      </c>
      <c r="J105" s="194">
        <f>+J$95*'Monthly Energy Allocators'!J120</f>
        <v>3400065.8250106545</v>
      </c>
      <c r="K105" s="194">
        <f>+K$95*'Monthly Energy Allocators'!K120</f>
        <v>3341996.0200116625</v>
      </c>
      <c r="L105" s="194">
        <f>+L$95*'Monthly Energy Allocators'!L120</f>
        <v>3169463.9674480963</v>
      </c>
      <c r="M105" s="194">
        <f>+M$95*'Monthly Energy Allocators'!M120</f>
        <v>3095784.11966757</v>
      </c>
      <c r="N105" s="214">
        <f t="shared" si="26"/>
        <v>40628531.082155816</v>
      </c>
    </row>
    <row r="106" spans="1:14" ht="12.75">
      <c r="A106" s="213" t="s">
        <v>61</v>
      </c>
      <c r="B106" s="194">
        <f>+B$95*'Monthly Energy Allocators'!B121</f>
        <v>7783243.260413055</v>
      </c>
      <c r="C106" s="194">
        <f>+C$95*'Monthly Energy Allocators'!C121</f>
        <v>6949612.2586881</v>
      </c>
      <c r="D106" s="194">
        <f>+D$95*'Monthly Energy Allocators'!D121</f>
        <v>8256329.969359835</v>
      </c>
      <c r="E106" s="194">
        <f>+E$95*'Monthly Energy Allocators'!E121</f>
        <v>5729302.258715249</v>
      </c>
      <c r="F106" s="194">
        <f>+F$95*'Monthly Energy Allocators'!F121</f>
        <v>6534990.647204992</v>
      </c>
      <c r="G106" s="194">
        <f>+G$95*'Monthly Energy Allocators'!G121</f>
        <v>6392854.258727018</v>
      </c>
      <c r="H106" s="194">
        <f>+H$95*'Monthly Energy Allocators'!H121</f>
        <v>7318177.52040724</v>
      </c>
      <c r="I106" s="194">
        <f>+I$95*'Monthly Energy Allocators'!I121</f>
        <v>8021021.709431299</v>
      </c>
      <c r="J106" s="194">
        <f>+J$95*'Monthly Energy Allocators'!J121</f>
        <v>6764592.455188832</v>
      </c>
      <c r="K106" s="194">
        <f>+K$95*'Monthly Energy Allocators'!K121</f>
        <v>6603328.668313277</v>
      </c>
      <c r="L106" s="194">
        <f>+L$95*'Monthly Energy Allocators'!L121</f>
        <v>5765181.769991397</v>
      </c>
      <c r="M106" s="194">
        <f>+M$95*'Monthly Energy Allocators'!M121</f>
        <v>6779110.074080942</v>
      </c>
      <c r="N106" s="214">
        <f t="shared" si="26"/>
        <v>82897744.85052124</v>
      </c>
    </row>
    <row r="107" spans="1:14" ht="12.75">
      <c r="A107" s="213" t="s">
        <v>58</v>
      </c>
      <c r="B107" s="194">
        <f>+B$95*'Monthly Energy Allocators'!B122</f>
        <v>993873.9736997389</v>
      </c>
      <c r="C107" s="194">
        <f>+C$95*'Monthly Energy Allocators'!C122</f>
        <v>889875.0282424518</v>
      </c>
      <c r="D107" s="194">
        <f>+D$95*'Monthly Energy Allocators'!D122</f>
        <v>958693.1669483826</v>
      </c>
      <c r="E107" s="194">
        <f>+E$95*'Monthly Energy Allocators'!E122</f>
        <v>527269.6651192973</v>
      </c>
      <c r="F107" s="194">
        <f>+F$95*'Monthly Energy Allocators'!F122</f>
        <v>599138.5016197065</v>
      </c>
      <c r="G107" s="194">
        <f>+G$95*'Monthly Energy Allocators'!G122</f>
        <v>527701.5970850342</v>
      </c>
      <c r="H107" s="194">
        <f>+H$95*'Monthly Energy Allocators'!H122</f>
        <v>639894.0388660026</v>
      </c>
      <c r="I107" s="194">
        <f>+I$95*'Monthly Energy Allocators'!I122</f>
        <v>695476.8606589173</v>
      </c>
      <c r="J107" s="194">
        <f>+J$95*'Monthly Energy Allocators'!J122</f>
        <v>588247.3142870199</v>
      </c>
      <c r="K107" s="194">
        <f>+K$95*'Monthly Energy Allocators'!K122</f>
        <v>614668.6460132851</v>
      </c>
      <c r="L107" s="194">
        <f>+L$95*'Monthly Energy Allocators'!L122</f>
        <v>705726.9015926928</v>
      </c>
      <c r="M107" s="194">
        <f>+M$95*'Monthly Energy Allocators'!M122</f>
        <v>836412.8457494233</v>
      </c>
      <c r="N107" s="214">
        <f t="shared" si="26"/>
        <v>8576978.539881952</v>
      </c>
    </row>
    <row r="108" spans="1:14" ht="12.75">
      <c r="A108" s="213" t="s">
        <v>59</v>
      </c>
      <c r="B108" s="217">
        <f>+B$95*'Monthly Energy Allocators'!B123</f>
        <v>455432.81212868885</v>
      </c>
      <c r="C108" s="217">
        <f>+C$95*'Monthly Energy Allocators'!C123</f>
        <v>430174.38737545244</v>
      </c>
      <c r="D108" s="217">
        <f>+D$95*'Monthly Energy Allocators'!D123</f>
        <v>526893.4249094853</v>
      </c>
      <c r="E108" s="217">
        <f>+E$95*'Monthly Energy Allocators'!E123</f>
        <v>350117.141355481</v>
      </c>
      <c r="F108" s="217">
        <f>+F$95*'Monthly Energy Allocators'!F123</f>
        <v>435957.94179189246</v>
      </c>
      <c r="G108" s="217">
        <f>+G$95*'Monthly Energy Allocators'!G123</f>
        <v>366971.7340871175</v>
      </c>
      <c r="H108" s="217">
        <f>+H$95*'Monthly Energy Allocators'!H123</f>
        <v>444353.4942344605</v>
      </c>
      <c r="I108" s="217">
        <f>+I$95*'Monthly Energy Allocators'!I123</f>
        <v>496047.7141636101</v>
      </c>
      <c r="J108" s="217">
        <f>+J$95*'Monthly Energy Allocators'!J123</f>
        <v>430577.93922309316</v>
      </c>
      <c r="K108" s="217">
        <f>+K$95*'Monthly Energy Allocators'!K123</f>
        <v>403766.72171024897</v>
      </c>
      <c r="L108" s="217">
        <f>+L$95*'Monthly Energy Allocators'!L123</f>
        <v>446963.6869257804</v>
      </c>
      <c r="M108" s="217">
        <f>+M$95*'Monthly Energy Allocators'!M123</f>
        <v>469545.0909359494</v>
      </c>
      <c r="N108" s="218">
        <f t="shared" si="26"/>
        <v>5256802.0888412595</v>
      </c>
    </row>
    <row r="109" spans="1:14" ht="12.75">
      <c r="A109" s="188" t="s">
        <v>49</v>
      </c>
      <c r="B109" s="216">
        <f>SUM(B99:B108)</f>
        <v>56333147.54733322</v>
      </c>
      <c r="C109" s="216">
        <f aca="true" t="shared" si="27" ref="C109:N109">SUM(C99:C108)</f>
        <v>50700324.196747586</v>
      </c>
      <c r="D109" s="216">
        <f t="shared" si="27"/>
        <v>55558257.05179831</v>
      </c>
      <c r="E109" s="216">
        <f t="shared" si="27"/>
        <v>35749667.37005967</v>
      </c>
      <c r="F109" s="216">
        <f t="shared" si="27"/>
        <v>38105462.102518484</v>
      </c>
      <c r="G109" s="216">
        <f t="shared" si="27"/>
        <v>32938421.653799325</v>
      </c>
      <c r="H109" s="216">
        <f t="shared" si="27"/>
        <v>39302714.46687154</v>
      </c>
      <c r="I109" s="216">
        <f t="shared" si="27"/>
        <v>42984823.94529024</v>
      </c>
      <c r="J109" s="216">
        <f t="shared" si="27"/>
        <v>35101270.82393428</v>
      </c>
      <c r="K109" s="216">
        <f t="shared" si="27"/>
        <v>36151219.07289022</v>
      </c>
      <c r="L109" s="216">
        <f t="shared" si="27"/>
        <v>38679314.27003127</v>
      </c>
      <c r="M109" s="216">
        <f t="shared" si="27"/>
        <v>45565469.58652019</v>
      </c>
      <c r="N109" s="216">
        <f t="shared" si="27"/>
        <v>507170092.08779424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17" scale="80" r:id="rId1"/>
  <rowBreaks count="1" manualBreakCount="1">
    <brk id="6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R138"/>
  <sheetViews>
    <sheetView view="pageBreakPreview" zoomScale="60" zoomScaleNormal="115" zoomScalePageLayoutView="0" workbookViewId="0" topLeftCell="A1">
      <pane xSplit="1" ySplit="1" topLeftCell="E9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00" sqref="A100:A106"/>
    </sheetView>
  </sheetViews>
  <sheetFormatPr defaultColWidth="9.140625" defaultRowHeight="12.75"/>
  <cols>
    <col min="1" max="1" width="30.00390625" style="50" customWidth="1"/>
    <col min="2" max="2" width="16.57421875" style="50" bestFit="1" customWidth="1"/>
    <col min="3" max="4" width="14.00390625" style="50" bestFit="1" customWidth="1"/>
    <col min="5" max="5" width="15.00390625" style="50" bestFit="1" customWidth="1"/>
    <col min="6" max="6" width="17.00390625" style="50" customWidth="1"/>
    <col min="7" max="7" width="16.28125" style="50" customWidth="1"/>
    <col min="8" max="8" width="13.140625" style="50" bestFit="1" customWidth="1"/>
    <col min="9" max="9" width="15.00390625" style="50" customWidth="1"/>
    <col min="10" max="10" width="14.28125" style="50" customWidth="1"/>
    <col min="11" max="11" width="16.7109375" style="50" customWidth="1"/>
    <col min="12" max="12" width="16.421875" style="50" customWidth="1"/>
    <col min="13" max="13" width="16.140625" style="50" customWidth="1"/>
    <col min="14" max="14" width="15.00390625" style="50" bestFit="1" customWidth="1"/>
    <col min="15" max="15" width="10.7109375" style="50" bestFit="1" customWidth="1"/>
    <col min="16" max="16" width="15.00390625" style="50" bestFit="1" customWidth="1"/>
    <col min="17" max="17" width="17.7109375" style="50" bestFit="1" customWidth="1"/>
    <col min="18" max="18" width="11.7109375" style="50" bestFit="1" customWidth="1"/>
    <col min="19" max="16384" width="9.140625" style="50" customWidth="1"/>
  </cols>
  <sheetData>
    <row r="1" spans="1:14" ht="12.75">
      <c r="A1" s="251" t="s">
        <v>8</v>
      </c>
      <c r="B1" s="252">
        <v>40179</v>
      </c>
      <c r="C1" s="252">
        <v>40210</v>
      </c>
      <c r="D1" s="252">
        <v>40238</v>
      </c>
      <c r="E1" s="252">
        <v>40269</v>
      </c>
      <c r="F1" s="252">
        <v>40299</v>
      </c>
      <c r="G1" s="252">
        <v>40330</v>
      </c>
      <c r="H1" s="252">
        <v>40360</v>
      </c>
      <c r="I1" s="252">
        <v>40391</v>
      </c>
      <c r="J1" s="252">
        <v>40422</v>
      </c>
      <c r="K1" s="252">
        <v>40452</v>
      </c>
      <c r="L1" s="252">
        <v>40483</v>
      </c>
      <c r="M1" s="252">
        <v>40513</v>
      </c>
      <c r="N1" s="251" t="s">
        <v>49</v>
      </c>
    </row>
    <row r="2" spans="1:14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2.75">
      <c r="A3" s="188" t="s">
        <v>62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2.75">
      <c r="A4" s="188" t="s">
        <v>43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2.75">
      <c r="A5" s="213" t="s">
        <v>133</v>
      </c>
      <c r="B5" s="253">
        <f>+'Data Inputs - 2010'!C20</f>
        <v>477650496.95838153</v>
      </c>
      <c r="C5" s="253">
        <f>+'Data Inputs - 2010'!D20</f>
        <v>442450450.0425785</v>
      </c>
      <c r="D5" s="253">
        <f>+'Data Inputs - 2010'!E20</f>
        <v>403494860</v>
      </c>
      <c r="E5" s="253">
        <f>+'Data Inputs - 2010'!F20</f>
        <v>315347216.7897849</v>
      </c>
      <c r="F5" s="253">
        <f>+'Data Inputs - 2010'!G20</f>
        <v>294978034.1138689</v>
      </c>
      <c r="G5" s="253">
        <f>+'Data Inputs - 2010'!H20</f>
        <v>243828437.47998047</v>
      </c>
      <c r="H5" s="253">
        <f>+'Data Inputs - 2010'!I20</f>
        <v>262364587.082362</v>
      </c>
      <c r="I5" s="253">
        <f>+'Data Inputs - 2010'!J20</f>
        <v>258479839.74298802</v>
      </c>
      <c r="J5" s="253">
        <f>+'Data Inputs - 2010'!K20</f>
        <v>249605357.20606196</v>
      </c>
      <c r="K5" s="253">
        <f>+'Data Inputs - 2010'!L20</f>
        <v>285359202.15832216</v>
      </c>
      <c r="L5" s="253">
        <f>+'Data Inputs - 2010'!M20</f>
        <v>347708058.181024</v>
      </c>
      <c r="M5" s="253">
        <f>+'Data Inputs - 2010'!N20</f>
        <v>394843212</v>
      </c>
      <c r="N5" s="254">
        <f aca="true" t="shared" si="0" ref="N5:N16">SUM(B5:M5)</f>
        <v>3976109751.755353</v>
      </c>
    </row>
    <row r="6" spans="1:14" ht="12.75">
      <c r="A6" s="213" t="s">
        <v>134</v>
      </c>
      <c r="B6" s="255">
        <f>+'Data Inputs - 2010'!C21</f>
        <v>23855178.990237243</v>
      </c>
      <c r="C6" s="255">
        <f>+'Data Inputs - 2010'!D21</f>
        <v>22431754.551344037</v>
      </c>
      <c r="D6" s="255">
        <f>+'Data Inputs - 2010'!E21</f>
        <v>19764518</v>
      </c>
      <c r="E6" s="255">
        <f>+'Data Inputs - 2010'!F21</f>
        <v>15398310.699881107</v>
      </c>
      <c r="F6" s="255">
        <f>+'Data Inputs - 2010'!G21</f>
        <v>10483919.003031641</v>
      </c>
      <c r="G6" s="255">
        <f>+'Data Inputs - 2010'!H21</f>
        <v>7061483.37404649</v>
      </c>
      <c r="H6" s="255">
        <f>+'Data Inputs - 2010'!I21</f>
        <v>6335988.448771084</v>
      </c>
      <c r="I6" s="255">
        <f>+'Data Inputs - 2010'!J21</f>
        <v>6672370.289254477</v>
      </c>
      <c r="J6" s="255">
        <f>+'Data Inputs - 2010'!K21</f>
        <v>7026889.7815697305</v>
      </c>
      <c r="K6" s="255">
        <f>+'Data Inputs - 2010'!L21</f>
        <v>9947136.304728251</v>
      </c>
      <c r="L6" s="255">
        <f>+'Data Inputs - 2010'!M21</f>
        <v>17307906.5344232</v>
      </c>
      <c r="M6" s="255">
        <f>+'Data Inputs - 2010'!N21</f>
        <v>24832982</v>
      </c>
      <c r="N6" s="256">
        <f t="shared" si="0"/>
        <v>171118437.97728726</v>
      </c>
    </row>
    <row r="7" spans="1:14" ht="12.75">
      <c r="A7" s="213" t="s">
        <v>135</v>
      </c>
      <c r="B7" s="253">
        <f>+'Data Inputs - 2010'!C22</f>
        <v>501505675.94861877</v>
      </c>
      <c r="C7" s="253">
        <f>+'Data Inputs - 2010'!D22</f>
        <v>464882204.59392256</v>
      </c>
      <c r="D7" s="253">
        <f>+'Data Inputs - 2010'!E22</f>
        <v>423259378</v>
      </c>
      <c r="E7" s="253">
        <f>+'Data Inputs - 2010'!F22</f>
        <v>330745527.489666</v>
      </c>
      <c r="F7" s="253">
        <f>+'Data Inputs - 2010'!G22</f>
        <v>305461953.11690056</v>
      </c>
      <c r="G7" s="253">
        <f>+'Data Inputs - 2010'!H22</f>
        <v>250889920.85402697</v>
      </c>
      <c r="H7" s="253">
        <f>+'Data Inputs - 2010'!I22</f>
        <v>268700575.53113306</v>
      </c>
      <c r="I7" s="253">
        <f>+'Data Inputs - 2010'!J22</f>
        <v>265152210.0322425</v>
      </c>
      <c r="J7" s="253">
        <f>+'Data Inputs - 2010'!K22</f>
        <v>256632246.98763168</v>
      </c>
      <c r="K7" s="253">
        <f>+'Data Inputs - 2010'!L22</f>
        <v>295306338.4630504</v>
      </c>
      <c r="L7" s="253">
        <f>+'Data Inputs - 2010'!M22</f>
        <v>365015964.7154472</v>
      </c>
      <c r="M7" s="253">
        <f>+'Data Inputs - 2010'!N22</f>
        <v>419676194</v>
      </c>
      <c r="N7" s="254">
        <f t="shared" si="0"/>
        <v>4147228189.7326393</v>
      </c>
    </row>
    <row r="8" spans="1:14" ht="12.75">
      <c r="A8" s="213" t="s">
        <v>52</v>
      </c>
      <c r="B8" s="253">
        <f>+'Data Inputs - 2010'!C23</f>
        <v>23196440.312278003</v>
      </c>
      <c r="C8" s="253">
        <f>+'Data Inputs - 2010'!D23</f>
        <v>18261373.3489052</v>
      </c>
      <c r="D8" s="253">
        <f>+'Data Inputs - 2010'!E23</f>
        <v>19040730.6</v>
      </c>
      <c r="E8" s="253">
        <f>+'Data Inputs - 2010'!F23</f>
        <v>17153217.571460128</v>
      </c>
      <c r="F8" s="253">
        <f>+'Data Inputs - 2010'!G23</f>
        <v>22745206.70104555</v>
      </c>
      <c r="G8" s="253">
        <f>+'Data Inputs - 2010'!H23</f>
        <v>18717898.4542254</v>
      </c>
      <c r="H8" s="253">
        <f>+'Data Inputs - 2010'!I23</f>
        <v>19214121.68180956</v>
      </c>
      <c r="I8" s="253">
        <f>+'Data Inputs - 2010'!J23</f>
        <v>18826176.507146157</v>
      </c>
      <c r="J8" s="253">
        <f>+'Data Inputs - 2010'!K23</f>
        <v>16214672.170562118</v>
      </c>
      <c r="K8" s="253">
        <f>+'Data Inputs - 2010'!L23</f>
        <v>18016562.21546253</v>
      </c>
      <c r="L8" s="253">
        <f>+'Data Inputs - 2010'!M23</f>
        <v>19467617.3770046</v>
      </c>
      <c r="M8" s="253">
        <f>+'Data Inputs - 2010'!N23</f>
        <v>21305474</v>
      </c>
      <c r="N8" s="254">
        <f t="shared" si="0"/>
        <v>232159490.9398992</v>
      </c>
    </row>
    <row r="9" spans="1:14" ht="12.75">
      <c r="A9" s="213" t="s">
        <v>53</v>
      </c>
      <c r="B9" s="253">
        <f>+'Data Inputs - 2010'!C24</f>
        <v>242996015.56144333</v>
      </c>
      <c r="C9" s="253">
        <f>+'Data Inputs - 2010'!D24</f>
        <v>217637562.99575168</v>
      </c>
      <c r="D9" s="253">
        <f>+'Data Inputs - 2010'!E24</f>
        <v>225194460.4</v>
      </c>
      <c r="E9" s="253">
        <f>+'Data Inputs - 2010'!F24</f>
        <v>196549718.23212498</v>
      </c>
      <c r="F9" s="253">
        <f>+'Data Inputs - 2010'!G24</f>
        <v>180492177.6325801</v>
      </c>
      <c r="G9" s="253">
        <f>+'Data Inputs - 2010'!H24</f>
        <v>188222387.18880153</v>
      </c>
      <c r="H9" s="253">
        <f>+'Data Inputs - 2010'!I24</f>
        <v>205624740.23204827</v>
      </c>
      <c r="I9" s="253">
        <f>+'Data Inputs - 2010'!J24</f>
        <v>199368722.3350351</v>
      </c>
      <c r="J9" s="253">
        <f>+'Data Inputs - 2010'!K24</f>
        <v>179465352.0754118</v>
      </c>
      <c r="K9" s="253">
        <f>+'Data Inputs - 2010'!L24</f>
        <v>192528643.9728651</v>
      </c>
      <c r="L9" s="253">
        <f>+'Data Inputs - 2010'!M24</f>
        <v>197305709.22727</v>
      </c>
      <c r="M9" s="253">
        <f>+'Data Inputs - 2010'!N24</f>
        <v>214826870</v>
      </c>
      <c r="N9" s="254">
        <f t="shared" si="0"/>
        <v>2440212359.853332</v>
      </c>
    </row>
    <row r="10" spans="1:14" ht="12.75">
      <c r="A10" s="213" t="s">
        <v>54</v>
      </c>
      <c r="B10" s="253">
        <f>+'Data Inputs - 2010'!C25</f>
        <v>35384085</v>
      </c>
      <c r="C10" s="253">
        <f>+'Data Inputs - 2010'!D25</f>
        <v>32478840</v>
      </c>
      <c r="D10" s="253">
        <f>+'Data Inputs - 2010'!E25</f>
        <v>35044783</v>
      </c>
      <c r="E10" s="253">
        <f>+'Data Inputs - 2010'!F25</f>
        <v>32099840</v>
      </c>
      <c r="F10" s="253">
        <f>+'Data Inputs - 2010'!G25</f>
        <v>32388681</v>
      </c>
      <c r="G10" s="253">
        <f>+'Data Inputs - 2010'!H25</f>
        <v>33923432</v>
      </c>
      <c r="H10" s="253">
        <f>+'Data Inputs - 2010'!I25</f>
        <v>39029802</v>
      </c>
      <c r="I10" s="253">
        <f>+'Data Inputs - 2010'!J25</f>
        <v>38507362</v>
      </c>
      <c r="J10" s="253">
        <f>+'Data Inputs - 2010'!K25</f>
        <v>35795202</v>
      </c>
      <c r="K10" s="253">
        <f>+'Data Inputs - 2010'!L25</f>
        <v>34087314</v>
      </c>
      <c r="L10" s="253">
        <f>+'Data Inputs - 2010'!M25</f>
        <v>33679634</v>
      </c>
      <c r="M10" s="253">
        <f>+'Data Inputs - 2010'!N25</f>
        <v>33699809</v>
      </c>
      <c r="N10" s="254">
        <f t="shared" si="0"/>
        <v>416118784</v>
      </c>
    </row>
    <row r="11" spans="1:14" ht="12.75">
      <c r="A11" s="213" t="s">
        <v>55</v>
      </c>
      <c r="B11" s="253">
        <f>+'Data Inputs - 2010'!C26</f>
        <v>25229445.805481</v>
      </c>
      <c r="C11" s="253">
        <f>+'Data Inputs - 2010'!D26</f>
        <v>19323227.572377637</v>
      </c>
      <c r="D11" s="253">
        <f>+'Data Inputs - 2010'!E26</f>
        <v>22642655.2</v>
      </c>
      <c r="E11" s="253">
        <f>+'Data Inputs - 2010'!F26</f>
        <v>19302987.695269145</v>
      </c>
      <c r="F11" s="253">
        <f>+'Data Inputs - 2010'!G26</f>
        <v>22688387.17415382</v>
      </c>
      <c r="G11" s="253">
        <f>+'Data Inputs - 2010'!H26</f>
        <v>20439784.00174185</v>
      </c>
      <c r="H11" s="253">
        <f>+'Data Inputs - 2010'!I26</f>
        <v>23609358.684217505</v>
      </c>
      <c r="I11" s="253">
        <f>+'Data Inputs - 2010'!J26</f>
        <v>19952999.13397017</v>
      </c>
      <c r="J11" s="253">
        <f>+'Data Inputs - 2010'!K26</f>
        <v>20887705.075352997</v>
      </c>
      <c r="K11" s="253">
        <f>+'Data Inputs - 2010'!L26</f>
        <v>17125888.80601851</v>
      </c>
      <c r="L11" s="253">
        <f>+'Data Inputs - 2010'!M26</f>
        <v>21005123.8657883</v>
      </c>
      <c r="M11" s="253">
        <f>+'Data Inputs - 2010'!N26</f>
        <v>22017745</v>
      </c>
      <c r="N11" s="254">
        <f t="shared" si="0"/>
        <v>254225308.01437095</v>
      </c>
    </row>
    <row r="12" spans="1:14" ht="12.75">
      <c r="A12" s="213" t="s">
        <v>56</v>
      </c>
      <c r="B12" s="253">
        <f>+'Data Inputs - 2010'!C27</f>
        <v>37650555.5347632</v>
      </c>
      <c r="C12" s="253">
        <f>+'Data Inputs - 2010'!D27</f>
        <v>36677589.158154175</v>
      </c>
      <c r="D12" s="253">
        <f>+'Data Inputs - 2010'!E27</f>
        <v>39962490.3</v>
      </c>
      <c r="E12" s="253">
        <f>+'Data Inputs - 2010'!F27</f>
        <v>38471160.97201656</v>
      </c>
      <c r="F12" s="253">
        <f>+'Data Inputs - 2010'!G27</f>
        <v>41557817.07109299</v>
      </c>
      <c r="G12" s="253">
        <f>+'Data Inputs - 2010'!H27</f>
        <v>41276286.18845342</v>
      </c>
      <c r="H12" s="253">
        <f>+'Data Inputs - 2010'!I27</f>
        <v>45466768.9543557</v>
      </c>
      <c r="I12" s="253">
        <f>+'Data Inputs - 2010'!J27</f>
        <v>42952950.006609425</v>
      </c>
      <c r="J12" s="253">
        <f>+'Data Inputs - 2010'!K27</f>
        <v>41710634.41972458</v>
      </c>
      <c r="K12" s="253">
        <f>+'Data Inputs - 2010'!L27</f>
        <v>39764331.60367684</v>
      </c>
      <c r="L12" s="253">
        <f>+'Data Inputs - 2010'!M27</f>
        <v>41802513.8660747</v>
      </c>
      <c r="M12" s="253">
        <f>+'Data Inputs - 2010'!N27</f>
        <v>43444394</v>
      </c>
      <c r="N12" s="254">
        <f t="shared" si="0"/>
        <v>490737492.0749216</v>
      </c>
    </row>
    <row r="13" spans="1:14" ht="12.75">
      <c r="A13" s="213" t="s">
        <v>57</v>
      </c>
      <c r="B13" s="253">
        <f>+'Data Inputs - 2010'!C28</f>
        <v>75147654</v>
      </c>
      <c r="C13" s="253">
        <f>+'Data Inputs - 2010'!D28</f>
        <v>67805806.46000001</v>
      </c>
      <c r="D13" s="253">
        <f>+'Data Inputs - 2010'!E28</f>
        <v>76858490.3</v>
      </c>
      <c r="E13" s="253">
        <f>+'Data Inputs - 2010'!F28</f>
        <v>75976885</v>
      </c>
      <c r="F13" s="253">
        <f>+'Data Inputs - 2010'!G28</f>
        <v>79176682</v>
      </c>
      <c r="G13" s="253">
        <f>+'Data Inputs - 2010'!H28</f>
        <v>73366357</v>
      </c>
      <c r="H13" s="253">
        <f>+'Data Inputs - 2010'!I28</f>
        <v>78428871.49000001</v>
      </c>
      <c r="I13" s="253">
        <f>+'Data Inputs - 2010'!J28</f>
        <v>87325892.49000001</v>
      </c>
      <c r="J13" s="253">
        <f>+'Data Inputs - 2010'!K28</f>
        <v>80982682.28</v>
      </c>
      <c r="K13" s="253">
        <f>+'Data Inputs - 2010'!L28</f>
        <v>82530586.89</v>
      </c>
      <c r="L13" s="253">
        <f>+'Data Inputs - 2010'!M28</f>
        <v>78402567.9</v>
      </c>
      <c r="M13" s="253">
        <f>+'Data Inputs - 2010'!N28</f>
        <v>73017860</v>
      </c>
      <c r="N13" s="254">
        <f t="shared" si="0"/>
        <v>929020335.81</v>
      </c>
    </row>
    <row r="14" spans="1:15" ht="12.75">
      <c r="A14" s="213" t="s">
        <v>268</v>
      </c>
      <c r="B14" s="253">
        <f>+'Data Inputs - 2010'!C29</f>
        <v>168427184</v>
      </c>
      <c r="C14" s="253">
        <f>+'Data Inputs - 2010'!D29</f>
        <v>152293184</v>
      </c>
      <c r="D14" s="253">
        <f>+'Data Inputs - 2010'!E29</f>
        <v>164019702</v>
      </c>
      <c r="E14" s="253">
        <f>+'Data Inputs - 2010'!F29</f>
        <v>148745494</v>
      </c>
      <c r="F14" s="253">
        <f>+'Data Inputs - 2010'!G29</f>
        <v>156390545</v>
      </c>
      <c r="G14" s="253">
        <f>+'Data Inputs - 2010'!H29</f>
        <v>163571376</v>
      </c>
      <c r="H14" s="253">
        <f>+'Data Inputs - 2010'!I29</f>
        <v>169045208</v>
      </c>
      <c r="I14" s="253">
        <f>+'Data Inputs - 2010'!J29</f>
        <v>168979474</v>
      </c>
      <c r="J14" s="253">
        <f>+'Data Inputs - 2010'!K29</f>
        <v>163334786</v>
      </c>
      <c r="K14" s="253">
        <f>+'Data Inputs - 2010'!L29</f>
        <v>166327148</v>
      </c>
      <c r="L14" s="253">
        <f>+'Data Inputs - 2010'!M29</f>
        <v>145846994</v>
      </c>
      <c r="M14" s="253">
        <f>+'Data Inputs - 2010'!N29</f>
        <v>164059346</v>
      </c>
      <c r="N14" s="254">
        <f>SUM(B14:M14)</f>
        <v>1931040441</v>
      </c>
      <c r="O14" s="257"/>
    </row>
    <row r="15" spans="1:14" ht="12.75">
      <c r="A15" s="213" t="s">
        <v>58</v>
      </c>
      <c r="B15" s="253">
        <f>+'Data Inputs - 2010'!C30</f>
        <v>20847939</v>
      </c>
      <c r="C15" s="253">
        <f>+'Data Inputs - 2010'!D30</f>
        <v>18950053</v>
      </c>
      <c r="D15" s="253">
        <f>+'Data Inputs - 2010'!E30</f>
        <v>18459219</v>
      </c>
      <c r="E15" s="253">
        <f>+'Data Inputs - 2010'!F30</f>
        <v>13291070</v>
      </c>
      <c r="F15" s="253">
        <f>+'Data Inputs - 2010'!G30</f>
        <v>13891129</v>
      </c>
      <c r="G15" s="253">
        <f>+'Data Inputs - 2010'!H30</f>
        <v>13116932</v>
      </c>
      <c r="H15" s="253">
        <f>+'Data Inputs - 2010'!I30</f>
        <v>14512395</v>
      </c>
      <c r="I15" s="253">
        <f>+'Data Inputs - 2010'!J30</f>
        <v>14291664</v>
      </c>
      <c r="J15" s="253">
        <f>+'Data Inputs - 2010'!K30</f>
        <v>13950220</v>
      </c>
      <c r="K15" s="253">
        <f>+'Data Inputs - 2010'!L30</f>
        <v>15078518</v>
      </c>
      <c r="L15" s="253">
        <f>+'Data Inputs - 2010'!M30</f>
        <v>17317098</v>
      </c>
      <c r="M15" s="253">
        <f>+'Data Inputs - 2010'!N30</f>
        <v>19469831</v>
      </c>
      <c r="N15" s="254">
        <f t="shared" si="0"/>
        <v>193176068</v>
      </c>
    </row>
    <row r="16" spans="1:14" ht="12.75">
      <c r="A16" s="213" t="s">
        <v>59</v>
      </c>
      <c r="B16" s="255">
        <f>+'Data Inputs - 2010'!C31</f>
        <v>8813798.897940882</v>
      </c>
      <c r="C16" s="255">
        <f>+'Data Inputs - 2010'!D31</f>
        <v>8446606.06700477</v>
      </c>
      <c r="D16" s="255">
        <f>+'Data Inputs - 2010'!E31</f>
        <v>9443171.6</v>
      </c>
      <c r="E16" s="255">
        <f>+'Data Inputs - 2010'!F31</f>
        <v>8389567.569661273</v>
      </c>
      <c r="F16" s="255">
        <f>+'Data Inputs - 2010'!G31</f>
        <v>9652358.564065441</v>
      </c>
      <c r="G16" s="255">
        <f>+'Data Inputs - 2010'!H31</f>
        <v>8921119.6055458</v>
      </c>
      <c r="H16" s="255">
        <f>+'Data Inputs - 2010'!I31</f>
        <v>9649081.137936331</v>
      </c>
      <c r="I16" s="255">
        <f>+'Data Inputs - 2010'!J31</f>
        <v>9710438.021894474</v>
      </c>
      <c r="J16" s="255">
        <f>+'Data Inputs - 2010'!K31</f>
        <v>9842954.085819809</v>
      </c>
      <c r="K16" s="255">
        <f>+'Data Inputs - 2010'!L31</f>
        <v>9450826.818453029</v>
      </c>
      <c r="L16" s="255">
        <f>+'Data Inputs - 2010'!M31</f>
        <v>10466437.8334925</v>
      </c>
      <c r="M16" s="255">
        <f>+'Data Inputs - 2010'!N31</f>
        <v>10062901</v>
      </c>
      <c r="N16" s="256">
        <f t="shared" si="0"/>
        <v>112849261.20181432</v>
      </c>
    </row>
    <row r="17" spans="1:14" ht="12.75">
      <c r="A17" s="188" t="s">
        <v>63</v>
      </c>
      <c r="B17" s="254">
        <f aca="true" t="shared" si="1" ref="B17:M17">SUM(B7:B16)</f>
        <v>1139198794.0605252</v>
      </c>
      <c r="C17" s="254">
        <f t="shared" si="1"/>
        <v>1036756447.1961161</v>
      </c>
      <c r="D17" s="254">
        <f t="shared" si="1"/>
        <v>1033925080.4</v>
      </c>
      <c r="E17" s="254">
        <f t="shared" si="1"/>
        <v>880725468.530198</v>
      </c>
      <c r="F17" s="254">
        <f t="shared" si="1"/>
        <v>864444937.2598385</v>
      </c>
      <c r="G17" s="254">
        <f t="shared" si="1"/>
        <v>812445493.292795</v>
      </c>
      <c r="H17" s="254">
        <f t="shared" si="1"/>
        <v>873280922.7115004</v>
      </c>
      <c r="I17" s="254">
        <f t="shared" si="1"/>
        <v>865067888.5268978</v>
      </c>
      <c r="J17" s="254">
        <f t="shared" si="1"/>
        <v>818816455.094503</v>
      </c>
      <c r="K17" s="254">
        <f t="shared" si="1"/>
        <v>870216158.7695264</v>
      </c>
      <c r="L17" s="254">
        <f t="shared" si="1"/>
        <v>930309660.7850773</v>
      </c>
      <c r="M17" s="254">
        <f t="shared" si="1"/>
        <v>1021580424</v>
      </c>
      <c r="N17" s="254">
        <f>SUM(B17:M17)</f>
        <v>11146767730.626978</v>
      </c>
    </row>
    <row r="18" spans="1:14" ht="12.75">
      <c r="A18" s="188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</row>
    <row r="19" spans="1:14" ht="12.75">
      <c r="A19" s="482" t="s">
        <v>136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</row>
    <row r="20" spans="1:14" ht="12.75">
      <c r="A20" s="45" t="s">
        <v>95</v>
      </c>
      <c r="B20" s="254">
        <f>+'Data Inputs - 2010'!C35</f>
        <v>15498000</v>
      </c>
      <c r="C20" s="254">
        <f>+'Data Inputs - 2010'!D35</f>
        <v>12474000</v>
      </c>
      <c r="D20" s="254">
        <f>+'Data Inputs - 2010'!E35</f>
        <v>15456000</v>
      </c>
      <c r="E20" s="254">
        <f>+'Data Inputs - 2010'!F35</f>
        <v>10080000</v>
      </c>
      <c r="F20" s="254">
        <f>+'Data Inputs - 2010'!G35</f>
        <v>10416000</v>
      </c>
      <c r="G20" s="254">
        <f>+'Data Inputs - 2010'!H35</f>
        <v>12290144</v>
      </c>
      <c r="H20" s="254">
        <f>+'Data Inputs - 2010'!I35</f>
        <v>15498000.000000002</v>
      </c>
      <c r="I20" s="254">
        <f>+'Data Inputs - 2010'!J35</f>
        <v>15498000.000000002</v>
      </c>
      <c r="J20" s="254">
        <f>+'Data Inputs - 2010'!K35</f>
        <v>14490000</v>
      </c>
      <c r="K20" s="254">
        <f>+'Data Inputs - 2010'!L35</f>
        <v>15498000.000000002</v>
      </c>
      <c r="L20" s="254">
        <f>+'Data Inputs - 2010'!M35</f>
        <v>14532000</v>
      </c>
      <c r="M20" s="254">
        <f>+'Data Inputs - 2010'!N35</f>
        <v>15498000</v>
      </c>
      <c r="N20" s="254">
        <f>SUM(B20:M20)</f>
        <v>167228144</v>
      </c>
    </row>
    <row r="21" spans="1:14" ht="12.75">
      <c r="A21" s="45" t="s">
        <v>35</v>
      </c>
      <c r="B21" s="254">
        <f>'Data Inputs - 2010'!C36</f>
        <v>990072</v>
      </c>
      <c r="C21" s="254">
        <f>'Data Inputs - 2010'!D36</f>
        <v>1221360</v>
      </c>
      <c r="D21" s="254">
        <f>'Data Inputs - 2010'!E36</f>
        <v>70166</v>
      </c>
      <c r="E21" s="254">
        <f>'Data Inputs - 2010'!F36</f>
        <v>1461992</v>
      </c>
      <c r="F21" s="254">
        <f>'Data Inputs - 2010'!G36</f>
        <v>3019161</v>
      </c>
      <c r="G21" s="254">
        <f>'Data Inputs - 2010'!H36</f>
        <v>576793.05</v>
      </c>
      <c r="H21" s="254">
        <f>'Data Inputs - 2010'!I36</f>
        <v>1591343</v>
      </c>
      <c r="I21" s="254">
        <f>'Data Inputs - 2010'!J36</f>
        <v>2833973</v>
      </c>
      <c r="J21" s="254">
        <f>'Data Inputs - 2010'!K36</f>
        <v>6682206</v>
      </c>
      <c r="K21" s="254">
        <f>'Data Inputs - 2010'!L36</f>
        <v>1466770</v>
      </c>
      <c r="L21" s="254">
        <f>'Data Inputs - 2010'!M36</f>
        <v>1309936.4100000001</v>
      </c>
      <c r="M21" s="254">
        <f>'Data Inputs - 2010'!N36</f>
        <v>-858505</v>
      </c>
      <c r="N21" s="254">
        <f>SUM(B21:M21)</f>
        <v>20365267.46</v>
      </c>
    </row>
    <row r="22" spans="1:14" ht="12.75">
      <c r="A22" s="45" t="s">
        <v>34</v>
      </c>
      <c r="B22" s="254">
        <f>+'Data Inputs - 2010'!C39-'Data Inputs - 2010'!C40</f>
        <v>15750000</v>
      </c>
      <c r="C22" s="254">
        <f>+'Data Inputs - 2010'!D39-'Data Inputs - 2010'!D40</f>
        <v>15750000</v>
      </c>
      <c r="D22" s="254">
        <f>+'Data Inputs - 2010'!E39-'Data Inputs - 2010'!E40</f>
        <v>15750000</v>
      </c>
      <c r="E22" s="254">
        <f>+'Data Inputs - 2010'!F39-'Data Inputs - 2010'!F40</f>
        <v>13943805</v>
      </c>
      <c r="F22" s="254">
        <f>+'Data Inputs - 2010'!G39-'Data Inputs - 2010'!G40</f>
        <v>15356339</v>
      </c>
      <c r="G22" s="254">
        <f>+'Data Inputs - 2010'!H39-'Data Inputs - 2010'!H40</f>
        <v>17945157</v>
      </c>
      <c r="H22" s="254">
        <f>+'Data Inputs - 2010'!I39-'Data Inputs - 2010'!I40</f>
        <v>15750000</v>
      </c>
      <c r="I22" s="254">
        <f>+'Data Inputs - 2010'!J39-'Data Inputs - 2010'!J40</f>
        <v>15750000</v>
      </c>
      <c r="J22" s="254">
        <f>+'Data Inputs - 2010'!K39-'Data Inputs - 2010'!K40</f>
        <v>15750000</v>
      </c>
      <c r="K22" s="254">
        <f>+'Data Inputs - 2010'!L39-'Data Inputs - 2010'!L40</f>
        <v>15750000</v>
      </c>
      <c r="L22" s="254">
        <f>+'Data Inputs - 2010'!M39-'Data Inputs - 2010'!M40</f>
        <v>15750000</v>
      </c>
      <c r="M22" s="254">
        <f>+'Data Inputs - 2010'!N39-'Data Inputs - 2010'!N40</f>
        <v>15750000</v>
      </c>
      <c r="N22" s="254">
        <f>SUM(B22:M22)</f>
        <v>188995301</v>
      </c>
    </row>
    <row r="23" spans="1:14" ht="12.75">
      <c r="A23" s="45" t="s">
        <v>162</v>
      </c>
      <c r="B23" s="256"/>
      <c r="C23" s="256"/>
      <c r="D23" s="256"/>
      <c r="E23" s="258"/>
      <c r="F23" s="258"/>
      <c r="G23" s="258"/>
      <c r="H23" s="258"/>
      <c r="I23" s="258"/>
      <c r="J23" s="258"/>
      <c r="K23" s="258"/>
      <c r="L23" s="258"/>
      <c r="M23" s="258"/>
      <c r="N23" s="254"/>
    </row>
    <row r="24" spans="1:14" ht="12.75">
      <c r="A24" s="483" t="s">
        <v>216</v>
      </c>
      <c r="B24" s="256">
        <f>+'Data Inputs - 2010'!C59</f>
        <v>-2295921</v>
      </c>
      <c r="C24" s="256">
        <f>+'Data Inputs - 2010'!D59</f>
        <v>-5944258</v>
      </c>
      <c r="D24" s="256">
        <f>+'Data Inputs - 2010'!E59</f>
        <v>-6105274</v>
      </c>
      <c r="E24" s="255">
        <f>+'Data Inputs - 2010'!F59</f>
        <v>-4132402</v>
      </c>
      <c r="F24" s="255">
        <f>+'Data Inputs - 2010'!G59</f>
        <v>-10510644</v>
      </c>
      <c r="G24" s="255">
        <f>+'Data Inputs - 2010'!H59</f>
        <v>-12986379</v>
      </c>
      <c r="H24" s="255">
        <f>+'Data Inputs - 2010'!I59</f>
        <v>5445955</v>
      </c>
      <c r="I24" s="255">
        <f>+'Data Inputs - 2010'!J59</f>
        <v>-306452</v>
      </c>
      <c r="J24" s="256">
        <f>+'Data Inputs - 2010'!K59</f>
        <v>-3670773</v>
      </c>
      <c r="K24" s="256">
        <f>+'Data Inputs - 2010'!L59</f>
        <v>-10970563</v>
      </c>
      <c r="L24" s="256">
        <f>+'Data Inputs - 2010'!M59</f>
        <v>-15900333</v>
      </c>
      <c r="M24" s="256">
        <f>+'Data Inputs - 2010'!N59</f>
        <v>-6585607</v>
      </c>
      <c r="N24" s="254">
        <f>SUM(B24:M24)</f>
        <v>-73962651</v>
      </c>
    </row>
    <row r="25" spans="1:14" ht="12.75">
      <c r="A25" s="46" t="s">
        <v>139</v>
      </c>
      <c r="B25" s="254">
        <f>SUM(B20:B24)</f>
        <v>29942151</v>
      </c>
      <c r="C25" s="254">
        <f>SUM(C20:C24)</f>
        <v>23501102</v>
      </c>
      <c r="D25" s="254">
        <f>SUM(D20:D24)</f>
        <v>25170892</v>
      </c>
      <c r="E25" s="254">
        <f>SUM(E20:E24)</f>
        <v>21353395</v>
      </c>
      <c r="F25" s="254">
        <f aca="true" t="shared" si="2" ref="F25:N25">SUM(F20:F24)</f>
        <v>18280856</v>
      </c>
      <c r="G25" s="254">
        <f t="shared" si="2"/>
        <v>17825715.05</v>
      </c>
      <c r="H25" s="254">
        <f t="shared" si="2"/>
        <v>38285298</v>
      </c>
      <c r="I25" s="254">
        <f t="shared" si="2"/>
        <v>33775521</v>
      </c>
      <c r="J25" s="254">
        <f t="shared" si="2"/>
        <v>33251433</v>
      </c>
      <c r="K25" s="254">
        <f t="shared" si="2"/>
        <v>21744207</v>
      </c>
      <c r="L25" s="254">
        <f t="shared" si="2"/>
        <v>15691603.41</v>
      </c>
      <c r="M25" s="254">
        <f t="shared" si="2"/>
        <v>23803888</v>
      </c>
      <c r="N25" s="254">
        <f t="shared" si="2"/>
        <v>302626061.46000004</v>
      </c>
    </row>
    <row r="26" spans="1:14" ht="12.75">
      <c r="A26" s="46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</row>
    <row r="27" spans="1:15" ht="12.75">
      <c r="A27" s="46" t="s">
        <v>219</v>
      </c>
      <c r="B27" s="254">
        <f>+B17+B25</f>
        <v>1169140945.0605252</v>
      </c>
      <c r="C27" s="254">
        <f aca="true" t="shared" si="3" ref="C27:M27">+C17+C25</f>
        <v>1060257549.1961161</v>
      </c>
      <c r="D27" s="254">
        <f t="shared" si="3"/>
        <v>1059095972.4</v>
      </c>
      <c r="E27" s="254">
        <f t="shared" si="3"/>
        <v>902078863.530198</v>
      </c>
      <c r="F27" s="254">
        <f t="shared" si="3"/>
        <v>882725793.2598385</v>
      </c>
      <c r="G27" s="254">
        <f t="shared" si="3"/>
        <v>830271208.3427949</v>
      </c>
      <c r="H27" s="254">
        <f t="shared" si="3"/>
        <v>911566220.7115004</v>
      </c>
      <c r="I27" s="254">
        <f t="shared" si="3"/>
        <v>898843409.5268978</v>
      </c>
      <c r="J27" s="254">
        <f t="shared" si="3"/>
        <v>852067888.094503</v>
      </c>
      <c r="K27" s="254">
        <f t="shared" si="3"/>
        <v>891960365.7695264</v>
      </c>
      <c r="L27" s="254">
        <f t="shared" si="3"/>
        <v>946001264.1950773</v>
      </c>
      <c r="M27" s="254">
        <f t="shared" si="3"/>
        <v>1045384312</v>
      </c>
      <c r="N27" s="254">
        <f>SUM(B27:M27)</f>
        <v>11449393792.086977</v>
      </c>
      <c r="O27" s="257"/>
    </row>
    <row r="28" spans="1:14" ht="12.75">
      <c r="A28" s="45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</row>
    <row r="29" spans="1:14" ht="12.75">
      <c r="A29" s="46" t="s">
        <v>137</v>
      </c>
      <c r="B29" s="57">
        <f>+'Data Inputs - 2010'!C46</f>
        <v>1263000</v>
      </c>
      <c r="C29" s="57">
        <f>+'Data Inputs - 2010'!D46</f>
        <v>0</v>
      </c>
      <c r="D29" s="57">
        <f>+'Data Inputs - 2010'!E46</f>
        <v>92000</v>
      </c>
      <c r="E29" s="57">
        <f>+'Data Inputs - 2010'!F46</f>
        <v>0</v>
      </c>
      <c r="F29" s="57">
        <f>+'Data Inputs - 2010'!G46</f>
        <v>184000</v>
      </c>
      <c r="G29" s="57">
        <f>+'Data Inputs - 2010'!H46</f>
        <v>341000</v>
      </c>
      <c r="H29" s="57">
        <f>+'Data Inputs - 2010'!I46</f>
        <v>1009000</v>
      </c>
      <c r="I29" s="57">
        <f>+'Data Inputs - 2010'!J46</f>
        <v>236000</v>
      </c>
      <c r="J29" s="57">
        <f>+'Data Inputs - 2010'!K46</f>
        <v>0</v>
      </c>
      <c r="K29" s="57">
        <f>+'Data Inputs - 2010'!L46</f>
        <v>300000</v>
      </c>
      <c r="L29" s="57">
        <f>+'Data Inputs - 2010'!M46</f>
        <v>278000</v>
      </c>
      <c r="M29" s="57">
        <f>+'Data Inputs - 2010'!N46</f>
        <v>2054000</v>
      </c>
      <c r="N29" s="57">
        <f>SUM(B29:M29)</f>
        <v>5757000</v>
      </c>
    </row>
    <row r="30" ht="12.75">
      <c r="A30" s="45"/>
    </row>
    <row r="31" spans="1:14" ht="12.75">
      <c r="A31" s="46" t="s">
        <v>220</v>
      </c>
      <c r="B31" s="114">
        <f>+B17+B25+B29</f>
        <v>1170403945.0605252</v>
      </c>
      <c r="C31" s="114">
        <f aca="true" t="shared" si="4" ref="C31:M31">+C17+C25+C29</f>
        <v>1060257549.1961161</v>
      </c>
      <c r="D31" s="114">
        <f t="shared" si="4"/>
        <v>1059187972.4</v>
      </c>
      <c r="E31" s="114">
        <f t="shared" si="4"/>
        <v>902078863.530198</v>
      </c>
      <c r="F31" s="114">
        <f t="shared" si="4"/>
        <v>882909793.2598385</v>
      </c>
      <c r="G31" s="114">
        <f t="shared" si="4"/>
        <v>830612208.3427949</v>
      </c>
      <c r="H31" s="114">
        <f t="shared" si="4"/>
        <v>912575220.7115004</v>
      </c>
      <c r="I31" s="114">
        <f t="shared" si="4"/>
        <v>899079409.5268978</v>
      </c>
      <c r="J31" s="114">
        <f t="shared" si="4"/>
        <v>852067888.094503</v>
      </c>
      <c r="K31" s="114">
        <f t="shared" si="4"/>
        <v>892260365.7695264</v>
      </c>
      <c r="L31" s="114">
        <f t="shared" si="4"/>
        <v>946279264.1950773</v>
      </c>
      <c r="M31" s="114">
        <f t="shared" si="4"/>
        <v>1047438312</v>
      </c>
      <c r="N31" s="114">
        <f>SUM(B31:M31)</f>
        <v>11455150792.086977</v>
      </c>
    </row>
    <row r="32" ht="12.75">
      <c r="A32" s="45"/>
    </row>
    <row r="33" ht="25.5">
      <c r="A33" s="259" t="s">
        <v>64</v>
      </c>
    </row>
    <row r="34" spans="1:18" ht="12.75">
      <c r="A34" s="213" t="s">
        <v>133</v>
      </c>
      <c r="B34" s="113">
        <v>0.13107800392646493</v>
      </c>
      <c r="C34" s="113">
        <v>0.13453661815502674</v>
      </c>
      <c r="D34" s="113">
        <v>0.13336645915892464</v>
      </c>
      <c r="E34" s="113">
        <v>0.1153723236474157</v>
      </c>
      <c r="F34" s="113">
        <v>0.1160558040539417</v>
      </c>
      <c r="G34" s="113">
        <v>0.08750553628067283</v>
      </c>
      <c r="H34" s="113">
        <v>0.09349687589633868</v>
      </c>
      <c r="I34" s="113">
        <v>0.11190288009152784</v>
      </c>
      <c r="J34" s="113">
        <v>0.08523447181798906</v>
      </c>
      <c r="K34" s="113">
        <v>0.10585923211335405</v>
      </c>
      <c r="L34" s="113">
        <v>0.10859633647550336</v>
      </c>
      <c r="M34" s="113">
        <v>0.15603437069181972</v>
      </c>
      <c r="N34" s="113">
        <v>0.11873250624732559</v>
      </c>
      <c r="O34" s="113"/>
      <c r="P34" s="114"/>
      <c r="Q34" s="115"/>
      <c r="R34" s="116"/>
    </row>
    <row r="35" spans="1:17" ht="12.75">
      <c r="A35" s="213" t="s">
        <v>134</v>
      </c>
      <c r="B35" s="113">
        <v>0.11482955977778815</v>
      </c>
      <c r="C35" s="113">
        <v>0.12603645246148065</v>
      </c>
      <c r="D35" s="113">
        <v>0.1168532541727344</v>
      </c>
      <c r="E35" s="113">
        <v>0.09743219763811592</v>
      </c>
      <c r="F35" s="113">
        <v>0.09836104868913857</v>
      </c>
      <c r="G35" s="113">
        <v>0.07143743016759777</v>
      </c>
      <c r="H35" s="113">
        <v>0.10067050429706502</v>
      </c>
      <c r="I35" s="113">
        <v>0.12468291857118673</v>
      </c>
      <c r="J35" s="113">
        <v>0.09262539634606674</v>
      </c>
      <c r="K35" s="113">
        <v>0.128674852006139</v>
      </c>
      <c r="L35" s="113">
        <v>0.12399531835205993</v>
      </c>
      <c r="M35" s="113">
        <v>0.17642249756014766</v>
      </c>
      <c r="N35" s="113">
        <v>0.12146613822745418</v>
      </c>
      <c r="O35" s="113"/>
      <c r="P35" s="114"/>
      <c r="Q35" s="115"/>
    </row>
    <row r="36" spans="1:17" ht="12.75">
      <c r="A36" s="213" t="s">
        <v>135</v>
      </c>
      <c r="B36" s="113">
        <v>0.13037163014378594</v>
      </c>
      <c r="C36" s="113">
        <v>0.1341719509653721</v>
      </c>
      <c r="D36" s="113">
        <v>0.13267882580323276</v>
      </c>
      <c r="E36" s="113">
        <v>0.1146247404331059</v>
      </c>
      <c r="F36" s="113">
        <v>0.11544600562023284</v>
      </c>
      <c r="G36" s="113">
        <v>0.08707864124922443</v>
      </c>
      <c r="H36" s="113">
        <v>0.0936625769890332</v>
      </c>
      <c r="I36" s="113">
        <v>0.112188924139715</v>
      </c>
      <c r="J36" s="113">
        <v>0.08541882742863266</v>
      </c>
      <c r="K36" s="113">
        <v>0.10654510683197045</v>
      </c>
      <c r="L36" s="113">
        <v>0.10924054110115093</v>
      </c>
      <c r="M36" s="113">
        <v>0.15711564650269558</v>
      </c>
      <c r="N36" s="113">
        <v>0.11883491871684276</v>
      </c>
      <c r="O36" s="113"/>
      <c r="P36" s="114"/>
      <c r="Q36" s="115"/>
    </row>
    <row r="37" spans="1:17" ht="12.75">
      <c r="A37" s="213" t="s">
        <v>52</v>
      </c>
      <c r="B37" s="113">
        <v>0.12166972279150037</v>
      </c>
      <c r="C37" s="113">
        <v>0.13746354536139355</v>
      </c>
      <c r="D37" s="113">
        <v>0.1392754168233672</v>
      </c>
      <c r="E37" s="113">
        <v>0.12158990906424172</v>
      </c>
      <c r="F37" s="113">
        <v>0.13318296546909403</v>
      </c>
      <c r="G37" s="113">
        <v>0.08907898488736812</v>
      </c>
      <c r="H37" s="113">
        <v>0.10040727667662232</v>
      </c>
      <c r="I37" s="113">
        <v>0.11516988355399585</v>
      </c>
      <c r="J37" s="113">
        <v>0.10127888971726788</v>
      </c>
      <c r="K37" s="113">
        <v>0.09088191330343796</v>
      </c>
      <c r="L37" s="113">
        <v>0.08184665667983113</v>
      </c>
      <c r="M37" s="113">
        <v>0.10524393213734881</v>
      </c>
      <c r="N37" s="113">
        <v>0.11262397500823129</v>
      </c>
      <c r="O37" s="113"/>
      <c r="P37" s="114"/>
      <c r="Q37" s="115"/>
    </row>
    <row r="38" spans="1:17" ht="12.75">
      <c r="A38" s="213" t="s">
        <v>53</v>
      </c>
      <c r="B38" s="113">
        <v>0.08351710166430927</v>
      </c>
      <c r="C38" s="113">
        <v>0.08147766595345643</v>
      </c>
      <c r="D38" s="113">
        <v>0.07949776605936262</v>
      </c>
      <c r="E38" s="113">
        <v>0.06772128279318183</v>
      </c>
      <c r="F38" s="113">
        <v>0.07394833872646807</v>
      </c>
      <c r="G38" s="113">
        <v>0.05983516290109271</v>
      </c>
      <c r="H38" s="113">
        <v>0.061908383436888655</v>
      </c>
      <c r="I38" s="113">
        <v>0.06424404704982309</v>
      </c>
      <c r="J38" s="113">
        <v>0.057367521014264386</v>
      </c>
      <c r="K38" s="113">
        <v>0.06433664057436307</v>
      </c>
      <c r="L38" s="113">
        <v>0.06461905128007996</v>
      </c>
      <c r="M38" s="113">
        <v>0.08659791158588946</v>
      </c>
      <c r="N38" s="113">
        <v>0.07105837101988273</v>
      </c>
      <c r="O38" s="113"/>
      <c r="P38" s="114"/>
      <c r="Q38" s="115"/>
    </row>
    <row r="39" spans="1:17" ht="12.75">
      <c r="A39" s="213" t="s">
        <v>54</v>
      </c>
      <c r="B39" s="113">
        <v>0.07172181289252604</v>
      </c>
      <c r="C39" s="113">
        <v>0.07055331903264671</v>
      </c>
      <c r="D39" s="113">
        <v>0.06833656241350679</v>
      </c>
      <c r="E39" s="113">
        <v>0.05825883482330353</v>
      </c>
      <c r="F39" s="113">
        <v>0.06290754541220307</v>
      </c>
      <c r="G39" s="113">
        <v>0.05325930495578861</v>
      </c>
      <c r="H39" s="113">
        <v>0.05408847533399179</v>
      </c>
      <c r="I39" s="113">
        <v>0.056319002467852965</v>
      </c>
      <c r="J39" s="113">
        <v>0.047788652999411055</v>
      </c>
      <c r="K39" s="113">
        <v>0.05409534587636158</v>
      </c>
      <c r="L39" s="113">
        <v>0.05513711577049466</v>
      </c>
      <c r="M39" s="113">
        <v>0.07092178534075812</v>
      </c>
      <c r="N39" s="113">
        <v>0.060256027147962965</v>
      </c>
      <c r="O39" s="113"/>
      <c r="P39" s="114"/>
      <c r="Q39" s="115"/>
    </row>
    <row r="40" spans="1:17" ht="12.75">
      <c r="A40" s="213" t="s">
        <v>55</v>
      </c>
      <c r="B40" s="113">
        <v>0.07604871447902571</v>
      </c>
      <c r="C40" s="113">
        <v>0.07305826408569095</v>
      </c>
      <c r="D40" s="113">
        <v>0.07137151717333083</v>
      </c>
      <c r="E40" s="113">
        <v>0.061161005468867595</v>
      </c>
      <c r="F40" s="113">
        <v>0.0659367396593674</v>
      </c>
      <c r="G40" s="113">
        <v>0.05461488911383086</v>
      </c>
      <c r="H40" s="113">
        <v>0.058671943306796745</v>
      </c>
      <c r="I40" s="113">
        <v>0.06167009538058724</v>
      </c>
      <c r="J40" s="113">
        <v>0.05111013943545645</v>
      </c>
      <c r="K40" s="113">
        <v>0.05873367045933418</v>
      </c>
      <c r="L40" s="113">
        <v>0.06085712876658283</v>
      </c>
      <c r="M40" s="113">
        <v>0.07771637439624038</v>
      </c>
      <c r="N40" s="113">
        <v>0.06443720066077463</v>
      </c>
      <c r="O40" s="113"/>
      <c r="P40" s="114"/>
      <c r="Q40" s="115"/>
    </row>
    <row r="41" spans="1:17" ht="12.75">
      <c r="A41" s="213" t="s">
        <v>56</v>
      </c>
      <c r="B41" s="113">
        <v>0.0712972716194725</v>
      </c>
      <c r="C41" s="113">
        <v>0.06987015869492842</v>
      </c>
      <c r="D41" s="113">
        <v>0.06769793396246243</v>
      </c>
      <c r="E41" s="113">
        <v>0.05852162616862236</v>
      </c>
      <c r="F41" s="113">
        <v>0.06209956665077029</v>
      </c>
      <c r="G41" s="113">
        <v>0.05308712044431832</v>
      </c>
      <c r="H41" s="113">
        <v>0.055284815885790546</v>
      </c>
      <c r="I41" s="113">
        <v>0.0569758363195932</v>
      </c>
      <c r="J41" s="113">
        <v>0.0475729330589517</v>
      </c>
      <c r="K41" s="113">
        <v>0.05509234168507942</v>
      </c>
      <c r="L41" s="113">
        <v>0.057337180544105526</v>
      </c>
      <c r="M41" s="113">
        <v>0.07360153022810981</v>
      </c>
      <c r="N41" s="113">
        <v>0.06060310284085229</v>
      </c>
      <c r="O41" s="113"/>
      <c r="P41" s="114"/>
      <c r="Q41" s="115"/>
    </row>
    <row r="42" spans="1:17" ht="12.75">
      <c r="A42" s="213" t="s">
        <v>57</v>
      </c>
      <c r="B42" s="113">
        <v>0.04289163292508111</v>
      </c>
      <c r="C42" s="113">
        <v>0.04129501598042231</v>
      </c>
      <c r="D42" s="113">
        <v>0.04286199065493748</v>
      </c>
      <c r="E42" s="113">
        <v>0.04122147387693716</v>
      </c>
      <c r="F42" s="113">
        <v>0.04325331633278572</v>
      </c>
      <c r="G42" s="113">
        <v>0.04264572562663857</v>
      </c>
      <c r="H42" s="113">
        <v>0.03345477432551834</v>
      </c>
      <c r="I42" s="113">
        <v>0.04011580749819755</v>
      </c>
      <c r="J42" s="113">
        <v>0.034500380300437346</v>
      </c>
      <c r="K42" s="113">
        <v>0.04075989370107017</v>
      </c>
      <c r="L42" s="113">
        <v>0.04347772154411035</v>
      </c>
      <c r="M42" s="113">
        <v>0.0469165301903509</v>
      </c>
      <c r="N42" s="113">
        <v>0.04102413037867488</v>
      </c>
      <c r="O42" s="113"/>
      <c r="P42" s="114"/>
      <c r="Q42" s="115"/>
    </row>
    <row r="43" spans="1:17" ht="12.75">
      <c r="A43" s="213" t="s">
        <v>61</v>
      </c>
      <c r="B43" s="113">
        <v>0.020337690876067897</v>
      </c>
      <c r="C43" s="113">
        <v>0.020356367595076173</v>
      </c>
      <c r="D43" s="113">
        <v>0.020370709204522143</v>
      </c>
      <c r="E43" s="113">
        <v>0.020385898373240723</v>
      </c>
      <c r="F43" s="113">
        <v>0.020445541267346892</v>
      </c>
      <c r="G43" s="113">
        <v>0.020625506360819577</v>
      </c>
      <c r="H43" s="113">
        <v>0.02067508924004334</v>
      </c>
      <c r="I43" s="113">
        <v>0.020627901227785864</v>
      </c>
      <c r="J43" s="113">
        <v>0.020465756698168493</v>
      </c>
      <c r="K43" s="113">
        <v>0.020373865011672525</v>
      </c>
      <c r="L43" s="113">
        <v>0.020335910725918373</v>
      </c>
      <c r="M43" s="113">
        <v>0.020333625595460817</v>
      </c>
      <c r="N43" s="113">
        <v>0.0204451481488719</v>
      </c>
      <c r="O43" s="113"/>
      <c r="P43" s="114"/>
      <c r="Q43" s="115"/>
    </row>
    <row r="44" spans="1:17" ht="12.75">
      <c r="A44" s="213" t="s">
        <v>58</v>
      </c>
      <c r="B44" s="113">
        <v>0.052600818234950324</v>
      </c>
      <c r="C44" s="113">
        <v>0.050002569505113316</v>
      </c>
      <c r="D44" s="113">
        <v>0.05276944065484311</v>
      </c>
      <c r="E44" s="113">
        <v>0.050943509977693376</v>
      </c>
      <c r="F44" s="113">
        <v>0.053282915091096596</v>
      </c>
      <c r="G44" s="113">
        <v>0.05059435364041605</v>
      </c>
      <c r="H44" s="113">
        <v>0.03957640350281719</v>
      </c>
      <c r="I44" s="113">
        <v>0.0463370087262396</v>
      </c>
      <c r="J44" s="113">
        <v>0.03899721448467967</v>
      </c>
      <c r="K44" s="113">
        <v>0.0477120887432245</v>
      </c>
      <c r="L44" s="113">
        <v>0.05193573249540523</v>
      </c>
      <c r="M44" s="113">
        <v>0.06078898596769923</v>
      </c>
      <c r="N44" s="113">
        <v>0.050050589717741935</v>
      </c>
      <c r="O44" s="113"/>
      <c r="P44" s="114"/>
      <c r="Q44" s="115"/>
    </row>
    <row r="45" spans="1:17" ht="12.75">
      <c r="A45" s="213" t="s">
        <v>59</v>
      </c>
      <c r="B45" s="113">
        <v>0.14092393840410639</v>
      </c>
      <c r="C45" s="113">
        <v>0.13876491956408926</v>
      </c>
      <c r="D45" s="113">
        <v>0.13102409638554216</v>
      </c>
      <c r="E45" s="113">
        <v>0.10555493957201463</v>
      </c>
      <c r="F45" s="113">
        <v>0.1029771161964008</v>
      </c>
      <c r="G45" s="113">
        <v>0.07421737601125572</v>
      </c>
      <c r="H45" s="113">
        <v>0.08575060672599098</v>
      </c>
      <c r="I45" s="113">
        <v>0.09838939410540155</v>
      </c>
      <c r="J45" s="113">
        <v>0.07785862785862786</v>
      </c>
      <c r="K45" s="113">
        <v>0.09804533166978582</v>
      </c>
      <c r="L45" s="113">
        <v>0.1023030072325847</v>
      </c>
      <c r="M45" s="113">
        <v>0.15219130589385724</v>
      </c>
      <c r="N45" s="113">
        <v>0.11052621611103905</v>
      </c>
      <c r="O45" s="113"/>
      <c r="P45" s="114"/>
      <c r="Q45" s="115"/>
    </row>
    <row r="46" spans="1:15" ht="12.75">
      <c r="A46" s="2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12.75">
      <c r="A47" s="46" t="s">
        <v>136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7" ht="12.75">
      <c r="A48" s="45" t="s">
        <v>95</v>
      </c>
      <c r="B48" s="113">
        <v>0.022131887985546522</v>
      </c>
      <c r="C48" s="113">
        <v>0.0219656886323553</v>
      </c>
      <c r="D48" s="113">
        <v>0.02200283907600981</v>
      </c>
      <c r="E48" s="113">
        <v>0.022291235334713597</v>
      </c>
      <c r="F48" s="113">
        <v>0.02264808362369338</v>
      </c>
      <c r="G48" s="113">
        <v>0.023533471359558317</v>
      </c>
      <c r="H48" s="113">
        <v>0.023228803716608595</v>
      </c>
      <c r="I48" s="113">
        <v>0.023357852626145308</v>
      </c>
      <c r="J48" s="113">
        <v>0.023878536922015182</v>
      </c>
      <c r="K48" s="113">
        <v>0.022970705897535165</v>
      </c>
      <c r="L48" s="113">
        <v>0.022774327122153208</v>
      </c>
      <c r="M48" s="113">
        <v>0.022519034714156665</v>
      </c>
      <c r="N48" s="113">
        <v>0.022781131231835457</v>
      </c>
      <c r="O48" s="113"/>
      <c r="P48" s="114"/>
      <c r="Q48" s="115"/>
    </row>
    <row r="49" spans="1:17" ht="12.75">
      <c r="A49" s="45" t="s">
        <v>35</v>
      </c>
      <c r="B49" s="113">
        <v>0.022058823529411766</v>
      </c>
      <c r="C49" s="113">
        <v>0.02666666666666667</v>
      </c>
      <c r="D49" s="113">
        <v>0.02097902097902098</v>
      </c>
      <c r="E49" s="113">
        <v>0.02</v>
      </c>
      <c r="F49" s="113">
        <v>0.021022727272727273</v>
      </c>
      <c r="G49" s="113">
        <v>0</v>
      </c>
      <c r="H49" s="113">
        <v>0.022707423580786028</v>
      </c>
      <c r="I49" s="113">
        <v>0.02564102564102564</v>
      </c>
      <c r="J49" s="113">
        <v>0.022222222222222223</v>
      </c>
      <c r="K49" s="113">
        <v>0.023329129886506934</v>
      </c>
      <c r="L49" s="113">
        <v>0.02244997559785261</v>
      </c>
      <c r="M49" s="113">
        <v>0</v>
      </c>
      <c r="N49" s="113">
        <v>0.02184115523465704</v>
      </c>
      <c r="O49" s="113"/>
      <c r="P49" s="114"/>
      <c r="Q49" s="115"/>
    </row>
    <row r="50" spans="1:17" ht="12.75">
      <c r="A50" s="45" t="s">
        <v>34</v>
      </c>
      <c r="B50" s="113">
        <v>0.02215873015873016</v>
      </c>
      <c r="C50" s="113">
        <v>0.021968253968253967</v>
      </c>
      <c r="D50" s="113">
        <v>0.02203174603174603</v>
      </c>
      <c r="E50" s="113">
        <v>0.022285714285714287</v>
      </c>
      <c r="F50" s="113">
        <v>0.022603174603174604</v>
      </c>
      <c r="G50" s="113">
        <v>0.02349206349206349</v>
      </c>
      <c r="H50" s="113">
        <v>0.023238095238095238</v>
      </c>
      <c r="I50" s="113">
        <v>0.023365079365079366</v>
      </c>
      <c r="J50" s="113">
        <v>0.023873015873015872</v>
      </c>
      <c r="K50" s="113">
        <v>0.022984126984126985</v>
      </c>
      <c r="L50" s="113">
        <v>0.02273015873015873</v>
      </c>
      <c r="M50" s="113">
        <v>0.022476190476190476</v>
      </c>
      <c r="N50" s="113">
        <v>0.022767195767195766</v>
      </c>
      <c r="O50" s="113"/>
      <c r="P50" s="114"/>
      <c r="Q50" s="115"/>
    </row>
    <row r="51" spans="1:17" ht="12.75">
      <c r="A51" s="45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  <c r="Q51" s="115"/>
    </row>
    <row r="52" spans="1:17" ht="12.75">
      <c r="A52" s="46" t="s">
        <v>137</v>
      </c>
      <c r="B52" s="113">
        <f>1202/38878</f>
        <v>0.030917228252482123</v>
      </c>
      <c r="C52" s="113">
        <f>1202/38878</f>
        <v>0.030917228252482123</v>
      </c>
      <c r="D52" s="113">
        <f aca="true" t="shared" si="5" ref="D52:M52">1202/38878</f>
        <v>0.030917228252482123</v>
      </c>
      <c r="E52" s="113">
        <f t="shared" si="5"/>
        <v>0.030917228252482123</v>
      </c>
      <c r="F52" s="113">
        <f t="shared" si="5"/>
        <v>0.030917228252482123</v>
      </c>
      <c r="G52" s="113">
        <f t="shared" si="5"/>
        <v>0.030917228252482123</v>
      </c>
      <c r="H52" s="113">
        <f t="shared" si="5"/>
        <v>0.030917228252482123</v>
      </c>
      <c r="I52" s="113">
        <f t="shared" si="5"/>
        <v>0.030917228252482123</v>
      </c>
      <c r="J52" s="113">
        <f t="shared" si="5"/>
        <v>0.030917228252482123</v>
      </c>
      <c r="K52" s="113">
        <f t="shared" si="5"/>
        <v>0.030917228252482123</v>
      </c>
      <c r="L52" s="113">
        <f t="shared" si="5"/>
        <v>0.030917228252482123</v>
      </c>
      <c r="M52" s="113">
        <f t="shared" si="5"/>
        <v>0.030917228252482123</v>
      </c>
      <c r="N52" s="113">
        <f>1202/38878</f>
        <v>0.030917228252482123</v>
      </c>
      <c r="O52" s="113"/>
      <c r="P52" s="114"/>
      <c r="Q52" s="114"/>
    </row>
    <row r="53" spans="1:17" ht="12.75">
      <c r="A53" s="188"/>
      <c r="O53" s="113"/>
      <c r="P53" s="114"/>
      <c r="Q53" s="115"/>
    </row>
    <row r="54" ht="12.75">
      <c r="A54" s="188" t="s">
        <v>65</v>
      </c>
    </row>
    <row r="55" spans="1:17" ht="12.75">
      <c r="A55" s="213" t="s">
        <v>133</v>
      </c>
      <c r="B55" s="253">
        <f aca="true" t="shared" si="6" ref="B55:D56">B86*B$83</f>
        <v>525291489.4825586</v>
      </c>
      <c r="C55" s="253">
        <f t="shared" si="6"/>
        <v>482658886.3939623</v>
      </c>
      <c r="D55" s="253">
        <f t="shared" si="6"/>
        <v>439976584.0028329</v>
      </c>
      <c r="E55" s="253">
        <f aca="true" t="shared" si="7" ref="E55:L55">E86*E$83</f>
        <v>339874061.02590185</v>
      </c>
      <c r="F55" s="253">
        <f t="shared" si="7"/>
        <v>316464290.222883</v>
      </c>
      <c r="G55" s="253">
        <f t="shared" si="7"/>
        <v>266360225.24942476</v>
      </c>
      <c r="H55" s="253">
        <f t="shared" si="7"/>
        <v>284158616.5580349</v>
      </c>
      <c r="I55" s="253">
        <f t="shared" si="7"/>
        <v>286254445.61564</v>
      </c>
      <c r="J55" s="253">
        <f>J86*J83</f>
        <v>270944560.02002996</v>
      </c>
      <c r="K55" s="253">
        <f t="shared" si="7"/>
        <v>319389312.85018176</v>
      </c>
      <c r="L55" s="253">
        <f t="shared" si="7"/>
        <v>389129187.88622206</v>
      </c>
      <c r="M55" s="253">
        <f>M86*M$83</f>
        <v>463871694.6294452</v>
      </c>
      <c r="N55" s="253">
        <f>SUM(B55:M55)</f>
        <v>4384373353.937118</v>
      </c>
      <c r="Q55" s="115"/>
    </row>
    <row r="56" spans="1:14" ht="12.75">
      <c r="A56" s="213" t="s">
        <v>134</v>
      </c>
      <c r="B56" s="255">
        <f t="shared" si="6"/>
        <v>25857630.72716005</v>
      </c>
      <c r="C56" s="255">
        <f t="shared" si="6"/>
        <v>24286942.343383003</v>
      </c>
      <c r="D56" s="255">
        <f t="shared" si="6"/>
        <v>21237507.357604608</v>
      </c>
      <c r="E56" s="255">
        <f aca="true" t="shared" si="8" ref="E56:M56">E87*E$83</f>
        <v>16329012.84832016</v>
      </c>
      <c r="F56" s="255">
        <f t="shared" si="8"/>
        <v>11069242.558522226</v>
      </c>
      <c r="G56" s="255">
        <f t="shared" si="8"/>
        <v>7600047.32220868</v>
      </c>
      <c r="H56" s="255">
        <f t="shared" si="8"/>
        <v>6907323.128536616</v>
      </c>
      <c r="I56" s="255">
        <f t="shared" si="8"/>
        <v>7474272.858372125</v>
      </c>
      <c r="J56" s="255">
        <f t="shared" si="8"/>
        <v>7679578.524313497</v>
      </c>
      <c r="K56" s="255">
        <f t="shared" si="8"/>
        <v>11363067.008416653</v>
      </c>
      <c r="L56" s="255">
        <f t="shared" si="8"/>
        <v>19638786.851601068</v>
      </c>
      <c r="M56" s="255">
        <f t="shared" si="8"/>
        <v>29688936.78669193</v>
      </c>
      <c r="N56" s="255">
        <f aca="true" t="shared" si="9" ref="N56:N67">SUM(B56:M56)</f>
        <v>189132348.31513062</v>
      </c>
    </row>
    <row r="57" spans="1:14" ht="12.75">
      <c r="A57" s="213" t="s">
        <v>135</v>
      </c>
      <c r="B57" s="253">
        <f aca="true" t="shared" si="10" ref="B57:C66">B88*B$83</f>
        <v>551181555.0427402</v>
      </c>
      <c r="C57" s="253">
        <f t="shared" si="10"/>
        <v>506966161.3144776</v>
      </c>
      <c r="D57" s="253">
        <f aca="true" t="shared" si="11" ref="D57:M57">D88*D$83</f>
        <v>461248080.76691836</v>
      </c>
      <c r="E57" s="253">
        <f t="shared" si="11"/>
        <v>356231084.6318823</v>
      </c>
      <c r="F57" s="253">
        <f t="shared" si="11"/>
        <v>327532802.3651245</v>
      </c>
      <c r="G57" s="253">
        <f t="shared" si="11"/>
        <v>273966662.25263584</v>
      </c>
      <c r="H57" s="253">
        <f t="shared" si="11"/>
        <v>291065020.49005246</v>
      </c>
      <c r="I57" s="253">
        <f t="shared" si="11"/>
        <v>293719328.26186293</v>
      </c>
      <c r="J57" s="253">
        <f t="shared" si="11"/>
        <v>278619513.8307084</v>
      </c>
      <c r="K57" s="253">
        <f t="shared" si="11"/>
        <v>330727677.30840075</v>
      </c>
      <c r="L57" s="253">
        <f t="shared" si="11"/>
        <v>408736297.5214139</v>
      </c>
      <c r="M57" s="253">
        <f t="shared" si="11"/>
        <v>493507265.5887591</v>
      </c>
      <c r="N57" s="253">
        <f t="shared" si="9"/>
        <v>4573501449.374976</v>
      </c>
    </row>
    <row r="58" spans="1:14" ht="12.75">
      <c r="A58" s="213" t="s">
        <v>52</v>
      </c>
      <c r="B58" s="253">
        <f t="shared" si="10"/>
        <v>25297867.58063522</v>
      </c>
      <c r="C58" s="253">
        <f t="shared" si="10"/>
        <v>19972299.50388948</v>
      </c>
      <c r="D58" s="253">
        <f aca="true" t="shared" si="12" ref="D58:M58">D89*D$83</f>
        <v>20870532.765092514</v>
      </c>
      <c r="E58" s="253">
        <f t="shared" si="12"/>
        <v>18590404.696683403</v>
      </c>
      <c r="F58" s="253">
        <f t="shared" si="12"/>
        <v>24776448.239861876</v>
      </c>
      <c r="G58" s="253">
        <f t="shared" si="12"/>
        <v>20477173.315568957</v>
      </c>
      <c r="H58" s="253">
        <f t="shared" si="12"/>
        <v>20941705.992930617</v>
      </c>
      <c r="I58" s="253">
        <f t="shared" si="12"/>
        <v>20910377.227907956</v>
      </c>
      <c r="J58" s="253">
        <f t="shared" si="12"/>
        <v>17861109.786649164</v>
      </c>
      <c r="K58" s="253">
        <f t="shared" si="12"/>
        <v>19891993.883649644</v>
      </c>
      <c r="L58" s="253">
        <f t="shared" si="12"/>
        <v>21261021.279209144</v>
      </c>
      <c r="M58" s="253">
        <f t="shared" si="12"/>
        <v>23930500.952271238</v>
      </c>
      <c r="N58" s="253">
        <f t="shared" si="9"/>
        <v>254781435.2243492</v>
      </c>
    </row>
    <row r="59" spans="1:14" ht="12.75">
      <c r="A59" s="213" t="s">
        <v>53</v>
      </c>
      <c r="B59" s="253">
        <f t="shared" si="10"/>
        <v>255995597.64335227</v>
      </c>
      <c r="C59" s="253">
        <f t="shared" si="10"/>
        <v>226312507.72267553</v>
      </c>
      <c r="D59" s="253">
        <f aca="true" t="shared" si="13" ref="D59:L59">D90*D$83</f>
        <v>233884074.84690458</v>
      </c>
      <c r="E59" s="253">
        <f t="shared" si="13"/>
        <v>202786705.50100133</v>
      </c>
      <c r="F59" s="253">
        <f t="shared" si="13"/>
        <v>186333481.87037727</v>
      </c>
      <c r="G59" s="253">
        <f t="shared" si="13"/>
        <v>200384046.71920067</v>
      </c>
      <c r="H59" s="253">
        <f t="shared" si="13"/>
        <v>216272093.32691103</v>
      </c>
      <c r="I59" s="253">
        <f t="shared" si="13"/>
        <v>211327961.83611676</v>
      </c>
      <c r="J59" s="253">
        <f t="shared" si="13"/>
        <v>189805824.1348017</v>
      </c>
      <c r="K59" s="253">
        <f t="shared" si="13"/>
        <v>207397260.40804753</v>
      </c>
      <c r="L59" s="253">
        <f t="shared" si="13"/>
        <v>212050596.6164847</v>
      </c>
      <c r="M59" s="253">
        <f>M90*M$83</f>
        <v>237224705.91656345</v>
      </c>
      <c r="N59" s="253">
        <f t="shared" si="9"/>
        <v>2579774856.5424366</v>
      </c>
    </row>
    <row r="60" spans="1:14" ht="12.75">
      <c r="A60" s="213" t="s">
        <v>54</v>
      </c>
      <c r="B60" s="253">
        <f t="shared" si="10"/>
        <v>36871228.982354306</v>
      </c>
      <c r="C60" s="253">
        <f t="shared" si="10"/>
        <v>33432277.25025852</v>
      </c>
      <c r="D60" s="253">
        <f aca="true" t="shared" si="14" ref="D60:L60">D91*D$83</f>
        <v>36020743.07935933</v>
      </c>
      <c r="E60" s="253">
        <f t="shared" si="14"/>
        <v>32824938.802647293</v>
      </c>
      <c r="F60" s="253">
        <f t="shared" si="14"/>
        <v>33093132.356327303</v>
      </c>
      <c r="G60" s="253">
        <f t="shared" si="14"/>
        <v>35891253.7114028</v>
      </c>
      <c r="H60" s="253">
        <f t="shared" si="14"/>
        <v>40748486.345705666</v>
      </c>
      <c r="I60" s="253">
        <f t="shared" si="14"/>
        <v>40513295.28674073</v>
      </c>
      <c r="J60" s="253">
        <f t="shared" si="14"/>
        <v>37514698.60204006</v>
      </c>
      <c r="K60" s="253">
        <f t="shared" si="14"/>
        <v>36366485.05300885</v>
      </c>
      <c r="L60" s="253">
        <f t="shared" si="14"/>
        <v>35874171.20865219</v>
      </c>
      <c r="M60" s="253">
        <f>M91*M$83</f>
        <v>36676479.57233638</v>
      </c>
      <c r="N60" s="253">
        <f t="shared" si="9"/>
        <v>435827190.2508334</v>
      </c>
    </row>
    <row r="61" spans="1:14" ht="12.75">
      <c r="A61" s="213" t="s">
        <v>55</v>
      </c>
      <c r="B61" s="253">
        <f t="shared" si="10"/>
        <v>26395945.182999168</v>
      </c>
      <c r="C61" s="253">
        <f t="shared" si="10"/>
        <v>19937014.27943424</v>
      </c>
      <c r="D61" s="253">
        <f aca="true" t="shared" si="15" ref="D61:M61">D92*D$83</f>
        <v>23339344.276951168</v>
      </c>
      <c r="E61" s="253">
        <f t="shared" si="15"/>
        <v>19793152.507557407</v>
      </c>
      <c r="F61" s="253">
        <f t="shared" si="15"/>
        <v>23247924.15798613</v>
      </c>
      <c r="G61" s="253">
        <f t="shared" si="15"/>
        <v>21653282.49424734</v>
      </c>
      <c r="H61" s="253">
        <f t="shared" si="15"/>
        <v>24756181.70497464</v>
      </c>
      <c r="I61" s="253">
        <f t="shared" si="15"/>
        <v>21098737.9157378</v>
      </c>
      <c r="J61" s="253">
        <f t="shared" si="15"/>
        <v>21960483.891020846</v>
      </c>
      <c r="K61" s="253">
        <f t="shared" si="15"/>
        <v>18351370.143058386</v>
      </c>
      <c r="L61" s="253">
        <f t="shared" si="15"/>
        <v>22495091.238564514</v>
      </c>
      <c r="M61" s="253">
        <f t="shared" si="15"/>
        <v>24114583.707837317</v>
      </c>
      <c r="N61" s="253">
        <f t="shared" si="9"/>
        <v>267143111.50036898</v>
      </c>
    </row>
    <row r="62" spans="1:14" ht="12.75">
      <c r="A62" s="213" t="s">
        <v>56</v>
      </c>
      <c r="B62" s="253">
        <f t="shared" si="10"/>
        <v>39217414.77303332</v>
      </c>
      <c r="C62" s="253">
        <f t="shared" si="10"/>
        <v>37730190.96387614</v>
      </c>
      <c r="D62" s="253">
        <f aca="true" t="shared" si="16" ref="D62:M62">D93*D$83</f>
        <v>41050849.331553064</v>
      </c>
      <c r="E62" s="253">
        <f t="shared" si="16"/>
        <v>39349949.77564322</v>
      </c>
      <c r="F62" s="253">
        <f t="shared" si="16"/>
        <v>42429418.80015489</v>
      </c>
      <c r="G62" s="253">
        <f t="shared" si="16"/>
        <v>43663491.194487356</v>
      </c>
      <c r="H62" s="253">
        <f t="shared" si="16"/>
        <v>47522781.25972889</v>
      </c>
      <c r="I62" s="253">
        <f t="shared" si="16"/>
        <v>45218563.82168006</v>
      </c>
      <c r="J62" s="253">
        <f t="shared" si="16"/>
        <v>43705291.11050657</v>
      </c>
      <c r="K62" s="253">
        <f t="shared" si="16"/>
        <v>42463208.63965574</v>
      </c>
      <c r="L62" s="253">
        <f t="shared" si="16"/>
        <v>44619173.02039641</v>
      </c>
      <c r="M62" s="253">
        <f t="shared" si="16"/>
        <v>47400106.293437846</v>
      </c>
      <c r="N62" s="253">
        <f t="shared" si="9"/>
        <v>514370438.98415357</v>
      </c>
    </row>
    <row r="63" spans="1:14" ht="12.75">
      <c r="A63" s="213" t="s">
        <v>57</v>
      </c>
      <c r="B63" s="253">
        <f t="shared" si="10"/>
        <v>76199510.97797695</v>
      </c>
      <c r="C63" s="253">
        <f t="shared" si="10"/>
        <v>67888751.68172319</v>
      </c>
      <c r="D63" s="253">
        <f aca="true" t="shared" si="17" ref="D63:M63">D94*D$83</f>
        <v>77115182.24272302</v>
      </c>
      <c r="E63" s="253">
        <f t="shared" si="17"/>
        <v>76442301.58437853</v>
      </c>
      <c r="F63" s="253">
        <f t="shared" si="17"/>
        <v>79402869.26599714</v>
      </c>
      <c r="G63" s="253">
        <f t="shared" si="17"/>
        <v>76839983.55919988</v>
      </c>
      <c r="H63" s="253">
        <f t="shared" si="17"/>
        <v>80279657.26985203</v>
      </c>
      <c r="I63" s="253">
        <f t="shared" si="17"/>
        <v>90465593.95090985</v>
      </c>
      <c r="J63" s="253">
        <f t="shared" si="17"/>
        <v>83796477.90809594</v>
      </c>
      <c r="K63" s="253">
        <f t="shared" si="17"/>
        <v>86934894.52834433</v>
      </c>
      <c r="L63" s="253">
        <f t="shared" si="17"/>
        <v>82588405.5026566</v>
      </c>
      <c r="M63" s="253">
        <f t="shared" si="17"/>
        <v>77686151.54753482</v>
      </c>
      <c r="N63" s="253">
        <f t="shared" si="9"/>
        <v>955639780.0193923</v>
      </c>
    </row>
    <row r="64" spans="1:14" ht="12.75">
      <c r="A64" s="213" t="s">
        <v>61</v>
      </c>
      <c r="B64" s="253">
        <f t="shared" si="10"/>
        <v>167091243.5280215</v>
      </c>
      <c r="C64" s="253">
        <f t="shared" si="10"/>
        <v>149413381.0119092</v>
      </c>
      <c r="D64" s="253">
        <f aca="true" t="shared" si="18" ref="D64:M64">D95*D$83</f>
        <v>161018287.17185494</v>
      </c>
      <c r="E64" s="253">
        <f t="shared" si="18"/>
        <v>146661938.50293</v>
      </c>
      <c r="F64" s="253">
        <f t="shared" si="18"/>
        <v>153408509.22905532</v>
      </c>
      <c r="G64" s="253">
        <f t="shared" si="18"/>
        <v>167697761.68508095</v>
      </c>
      <c r="H64" s="253">
        <f t="shared" si="18"/>
        <v>170894642.27693808</v>
      </c>
      <c r="I64" s="253">
        <f t="shared" si="18"/>
        <v>171775056.36686417</v>
      </c>
      <c r="J64" s="253">
        <f t="shared" si="18"/>
        <v>166717072.96335274</v>
      </c>
      <c r="K64" s="253">
        <f t="shared" si="18"/>
        <v>171771503.58000842</v>
      </c>
      <c r="L64" s="253">
        <f t="shared" si="18"/>
        <v>150226402.5421107</v>
      </c>
      <c r="M64" s="253">
        <f t="shared" si="18"/>
        <v>170116181.30175814</v>
      </c>
      <c r="N64" s="253">
        <f t="shared" si="9"/>
        <v>1946791980.159884</v>
      </c>
    </row>
    <row r="65" spans="1:14" ht="12.75">
      <c r="A65" s="213" t="s">
        <v>58</v>
      </c>
      <c r="B65" s="253">
        <f t="shared" si="10"/>
        <v>21336560.17412108</v>
      </c>
      <c r="C65" s="253">
        <f t="shared" si="10"/>
        <v>19131892.787479345</v>
      </c>
      <c r="D65" s="253">
        <f aca="true" t="shared" si="19" ref="D65:M65">D96*D$83</f>
        <v>18696821.982438136</v>
      </c>
      <c r="E65" s="253">
        <f t="shared" si="19"/>
        <v>13497348.840786697</v>
      </c>
      <c r="F65" s="253">
        <f t="shared" si="19"/>
        <v>14064739.999975389</v>
      </c>
      <c r="G65" s="253">
        <f t="shared" si="19"/>
        <v>13842702.03688707</v>
      </c>
      <c r="H65" s="253">
        <f t="shared" si="19"/>
        <v>14942854.633166274</v>
      </c>
      <c r="I65" s="253">
        <f t="shared" si="19"/>
        <v>14894059.7930392</v>
      </c>
      <c r="J65" s="253">
        <f t="shared" si="19"/>
        <v>14497676.107783755</v>
      </c>
      <c r="K65" s="253">
        <f t="shared" si="19"/>
        <v>15989293.10240731</v>
      </c>
      <c r="L65" s="253">
        <f t="shared" si="19"/>
        <v>18389500.597414576</v>
      </c>
      <c r="M65" s="253">
        <f t="shared" si="19"/>
        <v>20989091.157354977</v>
      </c>
      <c r="N65" s="253">
        <f t="shared" si="9"/>
        <v>200272541.2128538</v>
      </c>
    </row>
    <row r="66" spans="1:14" ht="12.75">
      <c r="A66" s="213" t="s">
        <v>59</v>
      </c>
      <c r="B66" s="255">
        <f t="shared" si="10"/>
        <v>9777265.38615316</v>
      </c>
      <c r="C66" s="255">
        <f t="shared" si="10"/>
        <v>9248546.141857166</v>
      </c>
      <c r="D66" s="255">
        <f aca="true" t="shared" si="20" ref="D66:M66">D97*D$83</f>
        <v>10275688.728028856</v>
      </c>
      <c r="E66" s="255">
        <f t="shared" si="20"/>
        <v>8962497.758987805</v>
      </c>
      <c r="F66" s="255">
        <f t="shared" si="20"/>
        <v>10234086.251594843</v>
      </c>
      <c r="G66" s="255">
        <f t="shared" si="20"/>
        <v>9626425.993380394</v>
      </c>
      <c r="H66" s="255">
        <f t="shared" si="20"/>
        <v>10376576.84989853</v>
      </c>
      <c r="I66" s="255">
        <f t="shared" si="20"/>
        <v>10623163.375922298</v>
      </c>
      <c r="J66" s="255">
        <f t="shared" si="20"/>
        <v>10611828.30826763</v>
      </c>
      <c r="K66" s="255">
        <f t="shared" si="20"/>
        <v>10503129.613485703</v>
      </c>
      <c r="L66" s="255">
        <f t="shared" si="20"/>
        <v>11646770.116307786</v>
      </c>
      <c r="M66" s="255">
        <f t="shared" si="20"/>
        <v>11782847.150455747</v>
      </c>
      <c r="N66" s="255">
        <f t="shared" si="9"/>
        <v>123668825.67433992</v>
      </c>
    </row>
    <row r="67" spans="1:14" ht="12.75">
      <c r="A67" s="213" t="s">
        <v>49</v>
      </c>
      <c r="B67" s="257">
        <f aca="true" t="shared" si="21" ref="B67:M67">SUM(B57:B66)</f>
        <v>1209364189.271387</v>
      </c>
      <c r="C67" s="257">
        <f t="shared" si="21"/>
        <v>1090033022.6575806</v>
      </c>
      <c r="D67" s="257">
        <f t="shared" si="21"/>
        <v>1083519605.191824</v>
      </c>
      <c r="E67" s="257">
        <f t="shared" si="21"/>
        <v>915140322.6024979</v>
      </c>
      <c r="F67" s="257">
        <f t="shared" si="21"/>
        <v>894523412.5364549</v>
      </c>
      <c r="G67" s="257">
        <f t="shared" si="21"/>
        <v>864042782.9620912</v>
      </c>
      <c r="H67" s="257">
        <f t="shared" si="21"/>
        <v>917800000.1501583</v>
      </c>
      <c r="I67" s="257">
        <f t="shared" si="21"/>
        <v>920546137.8367819</v>
      </c>
      <c r="J67" s="257">
        <f t="shared" si="21"/>
        <v>865089976.6432269</v>
      </c>
      <c r="K67" s="257">
        <f t="shared" si="21"/>
        <v>940396816.2600666</v>
      </c>
      <c r="L67" s="257">
        <f t="shared" si="21"/>
        <v>1007887429.6432104</v>
      </c>
      <c r="M67" s="257">
        <f t="shared" si="21"/>
        <v>1143427913.1883092</v>
      </c>
      <c r="N67" s="253">
        <f t="shared" si="9"/>
        <v>11851771608.943588</v>
      </c>
    </row>
    <row r="69" ht="12.75">
      <c r="A69" s="46" t="s">
        <v>136</v>
      </c>
    </row>
    <row r="70" spans="1:14" ht="12.75">
      <c r="A70" s="45" t="s">
        <v>95</v>
      </c>
      <c r="B70" s="253">
        <f aca="true" t="shared" si="22" ref="B70:C74">B101*B$83</f>
        <v>15402108.126777498</v>
      </c>
      <c r="C70" s="253">
        <f t="shared" si="22"/>
        <v>12257423.81140887</v>
      </c>
      <c r="D70" s="253">
        <f aca="true" t="shared" si="23" ref="D70:M70">D101*D$83</f>
        <v>15197439.1128757</v>
      </c>
      <c r="E70" s="253">
        <f t="shared" si="23"/>
        <v>9957362.637894498</v>
      </c>
      <c r="F70" s="253">
        <f t="shared" si="23"/>
        <v>10239442.326396901</v>
      </c>
      <c r="G70" s="253">
        <f t="shared" si="23"/>
        <v>12636085.685464505</v>
      </c>
      <c r="H70" s="253">
        <f t="shared" si="23"/>
        <v>15706755.426611558</v>
      </c>
      <c r="I70" s="253">
        <f t="shared" si="23"/>
        <v>15796537.11388207</v>
      </c>
      <c r="J70" s="253">
        <f t="shared" si="23"/>
        <v>14839517.413030975</v>
      </c>
      <c r="K70" s="253">
        <f t="shared" si="23"/>
        <v>16046026.454424432</v>
      </c>
      <c r="L70" s="253">
        <f t="shared" si="23"/>
        <v>15004130.069040721</v>
      </c>
      <c r="M70" s="253">
        <f t="shared" si="23"/>
        <v>16104583.888765538</v>
      </c>
      <c r="N70" s="253">
        <f>SUM(B70:M70)</f>
        <v>169187412.06657326</v>
      </c>
    </row>
    <row r="71" spans="1:14" ht="12.75">
      <c r="A71" s="45" t="s">
        <v>35</v>
      </c>
      <c r="B71" s="253">
        <f t="shared" si="22"/>
        <v>983875.7225405334</v>
      </c>
      <c r="C71" s="253">
        <f t="shared" si="22"/>
        <v>1205675.1284021335</v>
      </c>
      <c r="D71" s="253">
        <f aca="true" t="shared" si="24" ref="D71:M71">D102*D$83</f>
        <v>68923.08975585182</v>
      </c>
      <c r="E71" s="253">
        <f t="shared" si="24"/>
        <v>1440967.9537621404</v>
      </c>
      <c r="F71" s="253">
        <f t="shared" si="24"/>
        <v>2963267.1478863945</v>
      </c>
      <c r="G71" s="253">
        <f t="shared" si="24"/>
        <v>579393.4218323699</v>
      </c>
      <c r="H71" s="253">
        <f t="shared" si="24"/>
        <v>1611956.3383376657</v>
      </c>
      <c r="I71" s="253">
        <f t="shared" si="24"/>
        <v>2895008.22415622</v>
      </c>
      <c r="J71" s="253">
        <f t="shared" si="24"/>
        <v>6832318.932244633</v>
      </c>
      <c r="K71" s="253">
        <f t="shared" si="24"/>
        <v>1519168.705866337</v>
      </c>
      <c r="L71" s="253">
        <f t="shared" si="24"/>
        <v>1352066.0113783865</v>
      </c>
      <c r="M71" s="253">
        <f t="shared" si="24"/>
        <v>-872459.5059900711</v>
      </c>
      <c r="N71" s="253">
        <f>SUM(B71:M71)</f>
        <v>20580161.170172594</v>
      </c>
    </row>
    <row r="72" spans="1:14" ht="12.75">
      <c r="A72" s="45" t="s">
        <v>34</v>
      </c>
      <c r="B72" s="253">
        <f t="shared" si="22"/>
        <v>15652959.960418595</v>
      </c>
      <c r="C72" s="253">
        <f t="shared" si="22"/>
        <v>15476584.065613206</v>
      </c>
      <c r="D72" s="253">
        <f aca="true" t="shared" si="25" ref="D72:M72">D103*D$83</f>
        <v>15486958.86539439</v>
      </c>
      <c r="E72" s="253">
        <f t="shared" si="25"/>
        <v>13774084.63196492</v>
      </c>
      <c r="F72" s="253">
        <f t="shared" si="25"/>
        <v>15095376.575738367</v>
      </c>
      <c r="G72" s="253">
        <f t="shared" si="25"/>
        <v>18449528.978127528</v>
      </c>
      <c r="H72" s="253">
        <f t="shared" si="25"/>
        <v>15962294.769534104</v>
      </c>
      <c r="I72" s="253">
        <f t="shared" si="25"/>
        <v>16053504.741585828</v>
      </c>
      <c r="J72" s="253">
        <f t="shared" si="25"/>
        <v>16129823.254417464</v>
      </c>
      <c r="K72" s="253">
        <f t="shared" si="25"/>
        <v>16307151.396094762</v>
      </c>
      <c r="L72" s="253">
        <f t="shared" si="25"/>
        <v>16260999.404701745</v>
      </c>
      <c r="M72" s="253">
        <f t="shared" si="25"/>
        <v>16365761.276246624</v>
      </c>
      <c r="N72" s="253">
        <f>SUM(B72:M72)</f>
        <v>191015027.91983756</v>
      </c>
    </row>
    <row r="73" spans="1:14" ht="12.75">
      <c r="A73" s="45" t="s">
        <v>162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12.75">
      <c r="A74" s="483" t="s">
        <v>216</v>
      </c>
      <c r="B74" s="255">
        <f t="shared" si="22"/>
        <v>-2277710.0811238326</v>
      </c>
      <c r="C74" s="255">
        <f t="shared" si="22"/>
        <v>-5831854.466888612</v>
      </c>
      <c r="D74" s="255">
        <f aca="true" t="shared" si="26" ref="D74:L74">D105*D$83</f>
        <v>-5993552.909850181</v>
      </c>
      <c r="E74" s="255">
        <f t="shared" si="26"/>
        <v>-4074517.295921481</v>
      </c>
      <c r="F74" s="255">
        <f t="shared" si="26"/>
        <v>-10310228.326637747</v>
      </c>
      <c r="G74" s="255">
        <f t="shared" si="26"/>
        <v>-13313984.047515377</v>
      </c>
      <c r="H74" s="255">
        <f t="shared" si="26"/>
        <v>5505536.315358329</v>
      </c>
      <c r="I74" s="255">
        <f t="shared" si="26"/>
        <v>-311521.916405884</v>
      </c>
      <c r="J74" s="255">
        <f t="shared" si="26"/>
        <v>-3746786.248416827</v>
      </c>
      <c r="K74" s="255">
        <f t="shared" si="26"/>
        <v>-11329660.39692575</v>
      </c>
      <c r="L74" s="255">
        <f t="shared" si="26"/>
        <v>-16377778.933253892</v>
      </c>
      <c r="M74" s="255">
        <f>M105*M$83</f>
        <v>-6828738.146951577</v>
      </c>
      <c r="N74" s="253">
        <f>SUM(B74:M74)</f>
        <v>-74890796.45453283</v>
      </c>
    </row>
    <row r="75" spans="1:14" ht="12.75">
      <c r="A75" s="45" t="s">
        <v>49</v>
      </c>
      <c r="B75" s="257">
        <f>SUM(B70:B74)</f>
        <v>29761233.72861279</v>
      </c>
      <c r="C75" s="257">
        <f aca="true" t="shared" si="27" ref="C75:M75">SUM(C70:C74)</f>
        <v>23107828.538535595</v>
      </c>
      <c r="D75" s="257">
        <f t="shared" si="27"/>
        <v>24759768.15817576</v>
      </c>
      <c r="E75" s="257">
        <f t="shared" si="27"/>
        <v>21097897.927700076</v>
      </c>
      <c r="F75" s="257">
        <f t="shared" si="27"/>
        <v>17987857.72338392</v>
      </c>
      <c r="G75" s="257">
        <f t="shared" si="27"/>
        <v>18351024.037909023</v>
      </c>
      <c r="H75" s="257">
        <f t="shared" si="27"/>
        <v>38786542.849841654</v>
      </c>
      <c r="I75" s="257">
        <f t="shared" si="27"/>
        <v>34433528.16321823</v>
      </c>
      <c r="J75" s="257">
        <f t="shared" si="27"/>
        <v>34054873.35127625</v>
      </c>
      <c r="K75" s="257">
        <f t="shared" si="27"/>
        <v>22542686.159459785</v>
      </c>
      <c r="L75" s="257">
        <f t="shared" si="27"/>
        <v>16239416.551866964</v>
      </c>
      <c r="M75" s="257">
        <f t="shared" si="27"/>
        <v>24769147.512070514</v>
      </c>
      <c r="N75" s="253">
        <f>SUM(N70:N74)</f>
        <v>305891804.70205057</v>
      </c>
    </row>
    <row r="76" ht="12.75">
      <c r="N76" s="257">
        <f>SUM(B76:M76)</f>
        <v>0</v>
      </c>
    </row>
    <row r="77" spans="1:14" ht="12.75">
      <c r="A77" s="46" t="s">
        <v>137</v>
      </c>
      <c r="B77" s="253">
        <f>+'Data Inputs - 2010'!C46+'Data Inputs - 2010'!C47</f>
        <v>1247000</v>
      </c>
      <c r="C77" s="253">
        <f>+'Data Inputs - 2010'!D46+'Data Inputs - 2010'!D47</f>
        <v>0</v>
      </c>
      <c r="D77" s="253">
        <f>+'Data Inputs - 2010'!E46+'Data Inputs - 2010'!E47</f>
        <v>96000</v>
      </c>
      <c r="E77" s="253">
        <f>+'Data Inputs - 2010'!F46+'Data Inputs - 2010'!F47</f>
        <v>0</v>
      </c>
      <c r="F77" s="253">
        <f>+'Data Inputs - 2010'!G46+'Data Inputs - 2010'!G47</f>
        <v>190000</v>
      </c>
      <c r="G77" s="253">
        <f>+'Data Inputs - 2010'!H46+'Data Inputs - 2010'!H47</f>
        <v>353000</v>
      </c>
      <c r="H77" s="253">
        <f>+'Data Inputs - 2010'!I46+'Data Inputs - 2010'!I47</f>
        <v>1040000</v>
      </c>
      <c r="I77" s="253">
        <f>+'Data Inputs - 2010'!J46+'Data Inputs - 2010'!J47</f>
        <v>242000</v>
      </c>
      <c r="J77" s="253">
        <f>+'Data Inputs - 2010'!K46+'Data Inputs - 2010'!K47</f>
        <v>0</v>
      </c>
      <c r="K77" s="253">
        <f>+'Data Inputs - 2010'!L46+'Data Inputs - 2010'!L47</f>
        <v>312000</v>
      </c>
      <c r="L77" s="253">
        <f>+'Data Inputs - 2010'!M46+'Data Inputs - 2010'!M47</f>
        <v>289000</v>
      </c>
      <c r="M77" s="253">
        <f>+'Data Inputs - 2010'!N46+'Data Inputs - 2010'!N47</f>
        <v>2118000</v>
      </c>
      <c r="N77" s="253">
        <f>SUM(B77:M77)</f>
        <v>5887000</v>
      </c>
    </row>
    <row r="78" spans="2:14" ht="12.75"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</row>
    <row r="79" spans="1:14" ht="12.75">
      <c r="A79" s="50" t="s">
        <v>221</v>
      </c>
      <c r="B79" s="253">
        <f>+B67+B75</f>
        <v>1239125423</v>
      </c>
      <c r="C79" s="253">
        <f aca="true" t="shared" si="28" ref="C79:L79">+C67+C75</f>
        <v>1113140851.1961162</v>
      </c>
      <c r="D79" s="253">
        <f t="shared" si="28"/>
        <v>1108279373.3499997</v>
      </c>
      <c r="E79" s="253">
        <f t="shared" si="28"/>
        <v>936238220.530198</v>
      </c>
      <c r="F79" s="253">
        <f t="shared" si="28"/>
        <v>912511270.2598388</v>
      </c>
      <c r="G79" s="253">
        <f t="shared" si="28"/>
        <v>882393807.0000002</v>
      </c>
      <c r="H79" s="253">
        <f t="shared" si="28"/>
        <v>956586543</v>
      </c>
      <c r="I79" s="253">
        <f t="shared" si="28"/>
        <v>954979666.0000001</v>
      </c>
      <c r="J79" s="253">
        <f t="shared" si="28"/>
        <v>899144849.9945031</v>
      </c>
      <c r="K79" s="253">
        <f t="shared" si="28"/>
        <v>962939502.4195265</v>
      </c>
      <c r="L79" s="253">
        <f t="shared" si="28"/>
        <v>1024126846.1950774</v>
      </c>
      <c r="M79" s="253">
        <f>+M67+M75</f>
        <v>1168197060.7003796</v>
      </c>
      <c r="N79" s="253">
        <f>SUM(B79:M79)</f>
        <v>12157663413.645641</v>
      </c>
    </row>
    <row r="80" spans="2:14" ht="12.75">
      <c r="B80" s="253">
        <f>B79-B82</f>
        <v>0</v>
      </c>
      <c r="C80" s="253">
        <f aca="true" t="shared" si="29" ref="C80:N80">C79-C82</f>
        <v>0</v>
      </c>
      <c r="D80" s="253">
        <f t="shared" si="29"/>
        <v>0</v>
      </c>
      <c r="E80" s="253">
        <f t="shared" si="29"/>
        <v>0</v>
      </c>
      <c r="F80" s="253">
        <f t="shared" si="29"/>
        <v>0</v>
      </c>
      <c r="G80" s="253">
        <f t="shared" si="29"/>
        <v>0</v>
      </c>
      <c r="H80" s="253">
        <f t="shared" si="29"/>
        <v>0</v>
      </c>
      <c r="I80" s="253">
        <f t="shared" si="29"/>
        <v>0</v>
      </c>
      <c r="J80" s="253">
        <f t="shared" si="29"/>
        <v>0</v>
      </c>
      <c r="K80" s="253">
        <f t="shared" si="29"/>
        <v>0</v>
      </c>
      <c r="L80" s="253">
        <f t="shared" si="29"/>
        <v>0</v>
      </c>
      <c r="M80" s="253">
        <f t="shared" si="29"/>
        <v>0</v>
      </c>
      <c r="N80" s="253">
        <f t="shared" si="29"/>
        <v>0</v>
      </c>
    </row>
    <row r="81" spans="1:14" ht="12.75">
      <c r="A81" s="50" t="s">
        <v>222</v>
      </c>
      <c r="B81" s="253">
        <f>+B108</f>
        <v>1274435010.076109</v>
      </c>
      <c r="C81" s="253">
        <f aca="true" t="shared" si="30" ref="C81:L81">+C108</f>
        <v>1157691843.6841624</v>
      </c>
      <c r="D81" s="253">
        <f t="shared" si="30"/>
        <v>1151935200.956617</v>
      </c>
      <c r="E81" s="253">
        <f t="shared" si="30"/>
        <v>968896109.4758906</v>
      </c>
      <c r="F81" s="253">
        <f t="shared" si="30"/>
        <v>949268594.4683012</v>
      </c>
      <c r="G81" s="253">
        <f t="shared" si="30"/>
        <v>878433541.1179268</v>
      </c>
      <c r="H81" s="253">
        <f t="shared" si="30"/>
        <v>965797772.1606729</v>
      </c>
      <c r="I81" s="253">
        <f t="shared" si="30"/>
        <v>958816314.8396393</v>
      </c>
      <c r="J81" s="253">
        <f t="shared" si="30"/>
        <v>898931725.5562832</v>
      </c>
      <c r="K81" s="253">
        <f t="shared" si="30"/>
        <v>951415786.0028768</v>
      </c>
      <c r="L81" s="253">
        <f t="shared" si="30"/>
        <v>1014490858.0305605</v>
      </c>
      <c r="M81" s="253">
        <f>+M108</f>
        <v>1149512396.5191715</v>
      </c>
      <c r="N81" s="253">
        <f>SUM(B81:M81)</f>
        <v>12319625152.888212</v>
      </c>
    </row>
    <row r="82" spans="1:14" ht="12.75">
      <c r="A82" s="50" t="s">
        <v>223</v>
      </c>
      <c r="B82" s="253">
        <f>+'Data Inputs - 2010'!C49</f>
        <v>1239125423</v>
      </c>
      <c r="C82" s="253">
        <f>+'Data Inputs - 2010'!D49</f>
        <v>1113140851.196116</v>
      </c>
      <c r="D82" s="253">
        <f>+'Data Inputs - 2010'!E49</f>
        <v>1108279373.35</v>
      </c>
      <c r="E82" s="253">
        <f>+'Data Inputs - 2010'!F49</f>
        <v>936238220.530198</v>
      </c>
      <c r="F82" s="253">
        <f>+'Data Inputs - 2010'!G49</f>
        <v>912511270.2598386</v>
      </c>
      <c r="G82" s="253">
        <f>+'Data Inputs - 2010'!H49</f>
        <v>882393807</v>
      </c>
      <c r="H82" s="253">
        <f>+'Data Inputs - 2010'!I49</f>
        <v>956586543</v>
      </c>
      <c r="I82" s="253">
        <f>+'Data Inputs - 2010'!J49</f>
        <v>954979665.9999999</v>
      </c>
      <c r="J82" s="253">
        <f>+'Data Inputs - 2010'!K49</f>
        <v>899144849.994503</v>
      </c>
      <c r="K82" s="253">
        <f>+'Data Inputs - 2010'!L49</f>
        <v>962939502.4195265</v>
      </c>
      <c r="L82" s="253">
        <f>+'Data Inputs - 2010'!M49</f>
        <v>1024126846.1950774</v>
      </c>
      <c r="M82" s="253">
        <f>+'Data Inputs - 2010'!N49</f>
        <v>1168197060.7003794</v>
      </c>
      <c r="N82" s="253">
        <f>SUM(B82:M82)</f>
        <v>12157663413.645641</v>
      </c>
    </row>
    <row r="83" spans="1:14" ht="12.75">
      <c r="A83" s="212" t="s">
        <v>224</v>
      </c>
      <c r="B83" s="260">
        <f>+B82/B81</f>
        <v>0.9722939288414556</v>
      </c>
      <c r="C83" s="260">
        <f aca="true" t="shared" si="31" ref="C83:N83">+C82/C81</f>
        <v>0.9615173997026097</v>
      </c>
      <c r="D83" s="260">
        <f t="shared" si="31"/>
        <v>0.962102184593054</v>
      </c>
      <c r="E83" s="260">
        <f t="shared" si="31"/>
        <v>0.9662937144382193</v>
      </c>
      <c r="F83" s="260">
        <f t="shared" si="31"/>
        <v>0.9612782678973479</v>
      </c>
      <c r="G83" s="260">
        <f t="shared" si="31"/>
        <v>1.0045083272629063</v>
      </c>
      <c r="H83" s="260">
        <f t="shared" si="31"/>
        <v>0.990462569467244</v>
      </c>
      <c r="I83" s="260">
        <f t="shared" si="31"/>
        <v>0.9959985569913032</v>
      </c>
      <c r="J83" s="260">
        <f t="shared" si="31"/>
        <v>1.0002370863461159</v>
      </c>
      <c r="K83" s="260">
        <f>+K82/K81</f>
        <v>1.0121121770168051</v>
      </c>
      <c r="L83" s="260">
        <f t="shared" si="31"/>
        <v>1.009498348938524</v>
      </c>
      <c r="M83" s="260">
        <f>+M82/M81</f>
        <v>1.016254425996437</v>
      </c>
      <c r="N83" s="261">
        <f t="shared" si="31"/>
        <v>0.986853354933076</v>
      </c>
    </row>
    <row r="84" ht="12.75">
      <c r="E84" s="115"/>
    </row>
    <row r="85" ht="12.75">
      <c r="A85" s="188" t="s">
        <v>65</v>
      </c>
    </row>
    <row r="86" spans="1:17" ht="12.75">
      <c r="A86" s="213" t="s">
        <v>133</v>
      </c>
      <c r="B86" s="253">
        <f aca="true" t="shared" si="32" ref="B86:L86">+B5*(1+B34)</f>
        <v>540259970.6741703</v>
      </c>
      <c r="C86" s="253">
        <f t="shared" si="32"/>
        <v>501976237.29247665</v>
      </c>
      <c r="D86" s="253">
        <f t="shared" si="32"/>
        <v>457307540.76702607</v>
      </c>
      <c r="E86" s="253">
        <f t="shared" si="32"/>
        <v>351729557.9465678</v>
      </c>
      <c r="F86" s="253">
        <f t="shared" si="32"/>
        <v>329211947.041205</v>
      </c>
      <c r="G86" s="253">
        <f t="shared" si="32"/>
        <v>265164775.6621447</v>
      </c>
      <c r="H86" s="253">
        <f t="shared" si="32"/>
        <v>286894856.3203957</v>
      </c>
      <c r="I86" s="253">
        <f t="shared" si="32"/>
        <v>287404478.2558249</v>
      </c>
      <c r="J86" s="253">
        <f t="shared" si="32"/>
        <v>270880337.9904612</v>
      </c>
      <c r="K86" s="253">
        <f t="shared" si="32"/>
        <v>315567108.17528147</v>
      </c>
      <c r="L86" s="253">
        <f t="shared" si="32"/>
        <v>385467879.4624944</v>
      </c>
      <c r="M86" s="253">
        <f>+M5*(1+M34)</f>
        <v>456452324.10635674</v>
      </c>
      <c r="N86" s="253">
        <f>SUM(B86:M86)</f>
        <v>4448317013.694406</v>
      </c>
      <c r="Q86" s="115"/>
    </row>
    <row r="87" spans="1:14" ht="12.75">
      <c r="A87" s="213" t="s">
        <v>134</v>
      </c>
      <c r="B87" s="255">
        <f aca="true" t="shared" si="33" ref="B87:M87">+B6*(1+B35)</f>
        <v>26594458.692106526</v>
      </c>
      <c r="C87" s="255">
        <f t="shared" si="33"/>
        <v>25258973.317482114</v>
      </c>
      <c r="D87" s="255">
        <f t="shared" si="33"/>
        <v>22074066.24545558</v>
      </c>
      <c r="E87" s="255">
        <f t="shared" si="33"/>
        <v>16898601.95128504</v>
      </c>
      <c r="F87" s="255">
        <f t="shared" si="33"/>
        <v>11515128.270541823</v>
      </c>
      <c r="G87" s="255">
        <f t="shared" si="33"/>
        <v>7565937.5994595885</v>
      </c>
      <c r="H87" s="255">
        <f t="shared" si="33"/>
        <v>6973835.601129248</v>
      </c>
      <c r="I87" s="255">
        <f t="shared" si="33"/>
        <v>7504300.8907063985</v>
      </c>
      <c r="J87" s="255">
        <f t="shared" si="33"/>
        <v>7677758.2326677535</v>
      </c>
      <c r="K87" s="255">
        <f t="shared" si="33"/>
        <v>11227082.59662405</v>
      </c>
      <c r="L87" s="255">
        <f t="shared" si="33"/>
        <v>19454005.915166702</v>
      </c>
      <c r="M87" s="255">
        <f t="shared" si="33"/>
        <v>29214078.70630619</v>
      </c>
      <c r="N87" s="255">
        <f>SUM(B87:M87)</f>
        <v>191958228.01893103</v>
      </c>
    </row>
    <row r="88" spans="1:14" ht="12.75">
      <c r="A88" s="213" t="s">
        <v>135</v>
      </c>
      <c r="B88" s="253">
        <f aca="true" t="shared" si="34" ref="B88:B95">+B7*(1+B36)</f>
        <v>566887788.4484015</v>
      </c>
      <c r="C88" s="253">
        <f aca="true" t="shared" si="35" ref="C88:M88">+C7*(1+C36)</f>
        <v>527256356.95337236</v>
      </c>
      <c r="D88" s="253">
        <f t="shared" si="35"/>
        <v>479416935.28324664</v>
      </c>
      <c r="E88" s="253">
        <f t="shared" si="35"/>
        <v>368657147.72757965</v>
      </c>
      <c r="F88" s="253">
        <f t="shared" si="35"/>
        <v>340726315.4732016</v>
      </c>
      <c r="G88" s="253">
        <f t="shared" si="35"/>
        <v>272737074.2651211</v>
      </c>
      <c r="H88" s="253">
        <f t="shared" si="35"/>
        <v>293867763.8738153</v>
      </c>
      <c r="I88" s="253">
        <f t="shared" si="35"/>
        <v>294899351.2090275</v>
      </c>
      <c r="J88" s="253">
        <f t="shared" si="35"/>
        <v>278553472.6056904</v>
      </c>
      <c r="K88" s="253">
        <f t="shared" si="35"/>
        <v>326769783.8427542</v>
      </c>
      <c r="L88" s="253">
        <f t="shared" si="35"/>
        <v>404890506.21152127</v>
      </c>
      <c r="M88" s="253">
        <f t="shared" si="35"/>
        <v>485613890.54210067</v>
      </c>
      <c r="N88" s="253">
        <f>SUM(N86:N87)</f>
        <v>4640275241.713337</v>
      </c>
    </row>
    <row r="89" spans="1:14" ht="12.75">
      <c r="A89" s="213" t="s">
        <v>52</v>
      </c>
      <c r="B89" s="253">
        <f t="shared" si="34"/>
        <v>26018744.774822455</v>
      </c>
      <c r="C89" s="253">
        <f aca="true" t="shared" si="36" ref="C89:M89">+C8*(1+C37)</f>
        <v>20771646.47261377</v>
      </c>
      <c r="D89" s="253">
        <f t="shared" si="36"/>
        <v>21692636.290936444</v>
      </c>
      <c r="E89" s="253">
        <f t="shared" si="36"/>
        <v>19238875.73613312</v>
      </c>
      <c r="F89" s="253">
        <f t="shared" si="36"/>
        <v>25774480.77969831</v>
      </c>
      <c r="G89" s="253">
        <f t="shared" si="36"/>
        <v>20385269.847752634</v>
      </c>
      <c r="H89" s="253">
        <f t="shared" si="36"/>
        <v>21143359.313613303</v>
      </c>
      <c r="I89" s="253">
        <f t="shared" si="36"/>
        <v>20994385.06324115</v>
      </c>
      <c r="J89" s="253">
        <f t="shared" si="36"/>
        <v>17856876.16512613</v>
      </c>
      <c r="K89" s="253">
        <f t="shared" si="36"/>
        <v>19653941.860754192</v>
      </c>
      <c r="L89" s="253">
        <f t="shared" si="36"/>
        <v>21060976.77283461</v>
      </c>
      <c r="M89" s="253">
        <f t="shared" si="36"/>
        <v>23547745.85981005</v>
      </c>
      <c r="N89" s="253">
        <f>SUM(B89:M89)</f>
        <v>258138938.93733615</v>
      </c>
    </row>
    <row r="90" spans="1:14" ht="12.75">
      <c r="A90" s="213" t="s">
        <v>53</v>
      </c>
      <c r="B90" s="253">
        <f t="shared" si="34"/>
        <v>263290338.49711046</v>
      </c>
      <c r="C90" s="253">
        <f aca="true" t="shared" si="37" ref="C90:M90">+C9*(1+C38)</f>
        <v>235370163.65244386</v>
      </c>
      <c r="D90" s="253">
        <f t="shared" si="37"/>
        <v>243096916.93074358</v>
      </c>
      <c r="E90" s="253">
        <f t="shared" si="37"/>
        <v>209860317.28344294</v>
      </c>
      <c r="F90" s="253">
        <f t="shared" si="37"/>
        <v>193839274.321632</v>
      </c>
      <c r="G90" s="253">
        <f t="shared" si="37"/>
        <v>199484704.387876</v>
      </c>
      <c r="H90" s="253">
        <f t="shared" si="37"/>
        <v>218354635.49444455</v>
      </c>
      <c r="I90" s="253">
        <f t="shared" si="37"/>
        <v>212176975.9129902</v>
      </c>
      <c r="J90" s="253">
        <f t="shared" si="37"/>
        <v>189760834.43193033</v>
      </c>
      <c r="K90" s="253">
        <f t="shared" si="37"/>
        <v>204915290.14041683</v>
      </c>
      <c r="L90" s="253">
        <f t="shared" si="37"/>
        <v>210055416.9696795</v>
      </c>
      <c r="M90" s="253">
        <f t="shared" si="37"/>
        <v>233430428.29453337</v>
      </c>
      <c r="N90" s="253">
        <f>SUM(B90:M90)</f>
        <v>2613635296.3172436</v>
      </c>
    </row>
    <row r="91" spans="1:14" ht="12.75">
      <c r="A91" s="213" t="s">
        <v>54</v>
      </c>
      <c r="B91" s="253">
        <f t="shared" si="34"/>
        <v>37921895.72374324</v>
      </c>
      <c r="C91" s="253">
        <f aca="true" t="shared" si="38" ref="C91:L91">+C10*(1+C39)</f>
        <v>34770329.960330285</v>
      </c>
      <c r="D91" s="253">
        <f t="shared" si="38"/>
        <v>37439623.0007473</v>
      </c>
      <c r="E91" s="253">
        <f t="shared" si="38"/>
        <v>33969939.27641447</v>
      </c>
      <c r="F91" s="253">
        <f t="shared" si="38"/>
        <v>34426173.420848854</v>
      </c>
      <c r="G91" s="253">
        <f t="shared" si="38"/>
        <v>35730170.410034955</v>
      </c>
      <c r="H91" s="253">
        <f t="shared" si="38"/>
        <v>41140864.48276759</v>
      </c>
      <c r="I91" s="253">
        <f t="shared" si="38"/>
        <v>40676058.21550851</v>
      </c>
      <c r="J91" s="253">
        <f t="shared" si="38"/>
        <v>37505806.487421826</v>
      </c>
      <c r="K91" s="253">
        <f t="shared" si="38"/>
        <v>35931279.04082614</v>
      </c>
      <c r="L91" s="253">
        <f t="shared" si="38"/>
        <v>35536631.87896589</v>
      </c>
      <c r="M91" s="253">
        <f>+M10*(1+M39)</f>
        <v>36089859.61992255</v>
      </c>
      <c r="N91" s="253">
        <f>SUM(B91:M91)</f>
        <v>441138631.51753163</v>
      </c>
    </row>
    <row r="92" spans="1:14" ht="12.75">
      <c r="A92" s="213" t="s">
        <v>55</v>
      </c>
      <c r="B92" s="253">
        <f t="shared" si="34"/>
        <v>27148112.726006076</v>
      </c>
      <c r="C92" s="253">
        <f aca="true" t="shared" si="39" ref="C92:M92">+C11*(1+C40)</f>
        <v>20734949.035348307</v>
      </c>
      <c r="D92" s="253">
        <f t="shared" si="39"/>
        <v>24258695.85445661</v>
      </c>
      <c r="E92" s="253">
        <f t="shared" si="39"/>
        <v>20483577.831264984</v>
      </c>
      <c r="F92" s="253">
        <f t="shared" si="39"/>
        <v>24184385.452546928</v>
      </c>
      <c r="G92" s="253">
        <f t="shared" si="39"/>
        <v>21556100.538507637</v>
      </c>
      <c r="H92" s="253">
        <f t="shared" si="39"/>
        <v>24994565.638447747</v>
      </c>
      <c r="I92" s="253">
        <f t="shared" si="39"/>
        <v>21183502.49369089</v>
      </c>
      <c r="J92" s="253">
        <f t="shared" si="39"/>
        <v>21955278.594240982</v>
      </c>
      <c r="K92" s="253">
        <f t="shared" si="39"/>
        <v>18131755.1154744</v>
      </c>
      <c r="L92" s="253">
        <f t="shared" si="39"/>
        <v>22283435.3936466</v>
      </c>
      <c r="M92" s="253">
        <f t="shared" si="39"/>
        <v>23728884.31378095</v>
      </c>
      <c r="N92" s="253">
        <f>SUM(B92:M92)</f>
        <v>270643242.9874121</v>
      </c>
    </row>
    <row r="93" spans="1:14" ht="12.75">
      <c r="A93" s="213" t="s">
        <v>56</v>
      </c>
      <c r="B93" s="253">
        <f t="shared" si="34"/>
        <v>40334937.419349246</v>
      </c>
      <c r="C93" s="253">
        <f aca="true" t="shared" si="40" ref="C93:L93">+C12*(1+C41)</f>
        <v>39240258.133181795</v>
      </c>
      <c r="D93" s="253">
        <f t="shared" si="40"/>
        <v>42667868.32930494</v>
      </c>
      <c r="E93" s="253">
        <f t="shared" si="40"/>
        <v>40722555.87269381</v>
      </c>
      <c r="F93" s="253">
        <f t="shared" si="40"/>
        <v>44138539.50215985</v>
      </c>
      <c r="G93" s="253">
        <f t="shared" si="40"/>
        <v>43467525.364834</v>
      </c>
      <c r="H93" s="253">
        <f t="shared" si="40"/>
        <v>47980390.904919036</v>
      </c>
      <c r="I93" s="253">
        <f t="shared" si="40"/>
        <v>45400230.25562967</v>
      </c>
      <c r="J93" s="253">
        <f t="shared" si="40"/>
        <v>43694931.638820544</v>
      </c>
      <c r="K93" s="253">
        <f t="shared" si="40"/>
        <v>41955041.74726541</v>
      </c>
      <c r="L93" s="253">
        <f t="shared" si="40"/>
        <v>44199352.1508113</v>
      </c>
      <c r="M93" s="253">
        <f>+M12*(1+M41)</f>
        <v>46641967.87823292</v>
      </c>
      <c r="N93" s="253">
        <f aca="true" t="shared" si="41" ref="N93:N110">SUM(B93:M93)</f>
        <v>520443599.19720244</v>
      </c>
    </row>
    <row r="94" spans="1:14" ht="12.75">
      <c r="A94" s="213" t="s">
        <v>57</v>
      </c>
      <c r="B94" s="253">
        <f t="shared" si="34"/>
        <v>78370859.59054899</v>
      </c>
      <c r="C94" s="253">
        <f aca="true" t="shared" si="42" ref="C94:M94">+C13*(1+C42)</f>
        <v>70605848.32133114</v>
      </c>
      <c r="D94" s="253">
        <f t="shared" si="42"/>
        <v>80152798.1929912</v>
      </c>
      <c r="E94" s="253">
        <f t="shared" si="42"/>
        <v>79108764.18027855</v>
      </c>
      <c r="F94" s="253">
        <f t="shared" si="42"/>
        <v>82601336.07272638</v>
      </c>
      <c r="G94" s="253">
        <f t="shared" si="42"/>
        <v>76495118.53084801</v>
      </c>
      <c r="H94" s="253">
        <f t="shared" si="42"/>
        <v>81052691.68630303</v>
      </c>
      <c r="I94" s="253">
        <f t="shared" si="42"/>
        <v>90829041.18273714</v>
      </c>
      <c r="J94" s="253">
        <f t="shared" si="42"/>
        <v>83776615.6164095</v>
      </c>
      <c r="K94" s="253">
        <f t="shared" si="42"/>
        <v>85894524.83872335</v>
      </c>
      <c r="L94" s="253">
        <f t="shared" si="42"/>
        <v>81811332.91549942</v>
      </c>
      <c r="M94" s="253">
        <f t="shared" si="42"/>
        <v>76443604.63312481</v>
      </c>
      <c r="N94" s="253">
        <f t="shared" si="41"/>
        <v>967142535.7615216</v>
      </c>
    </row>
    <row r="95" spans="1:14" ht="12.75">
      <c r="A95" s="213" t="s">
        <v>61</v>
      </c>
      <c r="B95" s="253">
        <f t="shared" si="34"/>
        <v>171852604.0033186</v>
      </c>
      <c r="C95" s="253">
        <f aca="true" t="shared" si="43" ref="C95:M95">+C14*(1+C43)</f>
        <v>155393320.03572857</v>
      </c>
      <c r="D95" s="253">
        <f t="shared" si="43"/>
        <v>167360899.6532544</v>
      </c>
      <c r="E95" s="253">
        <f t="shared" si="43"/>
        <v>151777804.5241615</v>
      </c>
      <c r="F95" s="253">
        <f t="shared" si="43"/>
        <v>159588034.3416204</v>
      </c>
      <c r="G95" s="253">
        <f t="shared" si="43"/>
        <v>166945118.45613602</v>
      </c>
      <c r="H95" s="253">
        <f t="shared" si="43"/>
        <v>172540232.76100168</v>
      </c>
      <c r="I95" s="253">
        <f t="shared" si="43"/>
        <v>172465165.89919522</v>
      </c>
      <c r="J95" s="253">
        <f t="shared" si="43"/>
        <v>166677555.9906234</v>
      </c>
      <c r="K95" s="253">
        <f t="shared" si="43"/>
        <v>169715874.86112848</v>
      </c>
      <c r="L95" s="253">
        <f t="shared" si="43"/>
        <v>148812925.44962758</v>
      </c>
      <c r="M95" s="253">
        <f t="shared" si="43"/>
        <v>167395267.31700018</v>
      </c>
      <c r="N95" s="253">
        <f t="shared" si="41"/>
        <v>1970524803.2927961</v>
      </c>
    </row>
    <row r="96" spans="1:14" ht="12.75">
      <c r="A96" s="213" t="s">
        <v>58</v>
      </c>
      <c r="B96" s="253">
        <f aca="true" t="shared" si="44" ref="B96:M96">+B15*(1+B44)</f>
        <v>21944557.64991233</v>
      </c>
      <c r="C96" s="253">
        <f t="shared" si="44"/>
        <v>19897604.34225808</v>
      </c>
      <c r="D96" s="253">
        <f t="shared" si="44"/>
        <v>19433301.661555253</v>
      </c>
      <c r="E96" s="253">
        <f t="shared" si="44"/>
        <v>13968163.757159222</v>
      </c>
      <c r="F96" s="253">
        <f t="shared" si="44"/>
        <v>14631288.84702647</v>
      </c>
      <c r="G96" s="253">
        <f t="shared" si="44"/>
        <v>13780574.69628529</v>
      </c>
      <c r="H96" s="253">
        <f t="shared" si="44"/>
        <v>15086743.400312267</v>
      </c>
      <c r="I96" s="253">
        <f t="shared" si="44"/>
        <v>14953896.959480485</v>
      </c>
      <c r="J96" s="253">
        <f t="shared" si="44"/>
        <v>14494239.72144847</v>
      </c>
      <c r="K96" s="253">
        <f t="shared" si="44"/>
        <v>15797945.588932307</v>
      </c>
      <c r="L96" s="253">
        <f t="shared" si="44"/>
        <v>18216474.16932472</v>
      </c>
      <c r="M96" s="253">
        <f t="shared" si="44"/>
        <v>20653382.283452477</v>
      </c>
      <c r="N96" s="253">
        <f t="shared" si="41"/>
        <v>202858173.07714736</v>
      </c>
    </row>
    <row r="97" spans="1:14" ht="12.75">
      <c r="A97" s="213" t="s">
        <v>59</v>
      </c>
      <c r="B97" s="255">
        <f aca="true" t="shared" si="45" ref="B97:M97">+B16*(1+B45)</f>
        <v>10055874.150940483</v>
      </c>
      <c r="C97" s="255">
        <f t="shared" si="45"/>
        <v>9618698.678482234</v>
      </c>
      <c r="D97" s="255">
        <f t="shared" si="45"/>
        <v>10680454.625903614</v>
      </c>
      <c r="E97" s="255">
        <f t="shared" si="45"/>
        <v>9275127.867512202</v>
      </c>
      <c r="F97" s="255">
        <f t="shared" si="45"/>
        <v>10646330.613486532</v>
      </c>
      <c r="G97" s="255">
        <f t="shared" si="45"/>
        <v>9583221.693751978</v>
      </c>
      <c r="H97" s="255">
        <f t="shared" si="45"/>
        <v>10476495.699862687</v>
      </c>
      <c r="I97" s="255">
        <f t="shared" si="45"/>
        <v>10665842.135366725</v>
      </c>
      <c r="J97" s="255">
        <f t="shared" si="45"/>
        <v>10609312.985017214</v>
      </c>
      <c r="K97" s="255">
        <f t="shared" si="45"/>
        <v>10377436.268421963</v>
      </c>
      <c r="L97" s="255">
        <f t="shared" si="45"/>
        <v>11537185.898871683</v>
      </c>
      <c r="M97" s="255">
        <f t="shared" si="45"/>
        <v>11594387.044270603</v>
      </c>
      <c r="N97" s="253">
        <f t="shared" si="41"/>
        <v>125120367.66188791</v>
      </c>
    </row>
    <row r="98" spans="1:14" ht="12.75">
      <c r="A98" s="213" t="s">
        <v>49</v>
      </c>
      <c r="B98" s="257">
        <f aca="true" t="shared" si="46" ref="B98:M98">SUM(B88:B97)</f>
        <v>1243825712.9841533</v>
      </c>
      <c r="C98" s="257">
        <f t="shared" si="46"/>
        <v>1133659175.5850904</v>
      </c>
      <c r="D98" s="257">
        <f t="shared" si="46"/>
        <v>1126200129.8231401</v>
      </c>
      <c r="E98" s="257">
        <f t="shared" si="46"/>
        <v>947062274.0566404</v>
      </c>
      <c r="F98" s="257">
        <f t="shared" si="46"/>
        <v>930556158.8249472</v>
      </c>
      <c r="G98" s="257">
        <f t="shared" si="46"/>
        <v>860164878.1911474</v>
      </c>
      <c r="H98" s="257">
        <f t="shared" si="46"/>
        <v>926637743.2554873</v>
      </c>
      <c r="I98" s="257">
        <f t="shared" si="46"/>
        <v>924244449.3268673</v>
      </c>
      <c r="J98" s="257">
        <f t="shared" si="46"/>
        <v>864884924.2367288</v>
      </c>
      <c r="K98" s="257">
        <f t="shared" si="46"/>
        <v>929142873.3046972</v>
      </c>
      <c r="L98" s="257">
        <f t="shared" si="46"/>
        <v>998404237.8107826</v>
      </c>
      <c r="M98" s="257">
        <f t="shared" si="46"/>
        <v>1125139417.7862284</v>
      </c>
      <c r="N98" s="253">
        <f t="shared" si="41"/>
        <v>12009921975.185911</v>
      </c>
    </row>
    <row r="99" ht="12.75">
      <c r="N99" s="253"/>
    </row>
    <row r="100" spans="1:14" ht="12.75">
      <c r="A100" s="46" t="s">
        <v>136</v>
      </c>
      <c r="N100" s="253">
        <f t="shared" si="41"/>
        <v>0</v>
      </c>
    </row>
    <row r="101" spans="1:14" ht="12.75">
      <c r="A101" s="45" t="s">
        <v>95</v>
      </c>
      <c r="B101" s="253">
        <f>+B20*(1+B48)</f>
        <v>15841000</v>
      </c>
      <c r="C101" s="253">
        <f aca="true" t="shared" si="47" ref="C101:M101">+C20*(1+C48)</f>
        <v>12748000</v>
      </c>
      <c r="D101" s="253">
        <f t="shared" si="47"/>
        <v>15796075.880758809</v>
      </c>
      <c r="E101" s="253">
        <f t="shared" si="47"/>
        <v>10304695.652173912</v>
      </c>
      <c r="F101" s="253">
        <f t="shared" si="47"/>
        <v>10651902.439024389</v>
      </c>
      <c r="G101" s="253">
        <f t="shared" si="47"/>
        <v>12579373.751828847</v>
      </c>
      <c r="H101" s="253">
        <f t="shared" si="47"/>
        <v>15858000.000000002</v>
      </c>
      <c r="I101" s="253">
        <f t="shared" si="47"/>
        <v>15860000.000000002</v>
      </c>
      <c r="J101" s="253">
        <f t="shared" si="47"/>
        <v>14836000</v>
      </c>
      <c r="K101" s="253">
        <f t="shared" si="47"/>
        <v>15854000.000000004</v>
      </c>
      <c r="L101" s="253">
        <f t="shared" si="47"/>
        <v>14862956.52173913</v>
      </c>
      <c r="M101" s="253">
        <f t="shared" si="47"/>
        <v>15847000</v>
      </c>
      <c r="N101" s="253">
        <f t="shared" si="41"/>
        <v>171039004.2455251</v>
      </c>
    </row>
    <row r="102" spans="1:14" ht="12.75">
      <c r="A102" s="45" t="s">
        <v>35</v>
      </c>
      <c r="B102" s="253">
        <f>+B21*(1+B49)</f>
        <v>1011911.8235294117</v>
      </c>
      <c r="C102" s="253">
        <f aca="true" t="shared" si="48" ref="C102:M102">+C21*(1+C49)</f>
        <v>1253929.5999999999</v>
      </c>
      <c r="D102" s="253">
        <f t="shared" si="48"/>
        <v>71638.01398601399</v>
      </c>
      <c r="E102" s="253">
        <f t="shared" si="48"/>
        <v>1491231.84</v>
      </c>
      <c r="F102" s="253">
        <f t="shared" si="48"/>
        <v>3082631.9982954543</v>
      </c>
      <c r="G102" s="253">
        <f t="shared" si="48"/>
        <v>576793.05</v>
      </c>
      <c r="H102" s="253">
        <f t="shared" si="48"/>
        <v>1627478.2995633187</v>
      </c>
      <c r="I102" s="253">
        <f t="shared" si="48"/>
        <v>2906638.974358974</v>
      </c>
      <c r="J102" s="253">
        <f t="shared" si="48"/>
        <v>6830699.466666666</v>
      </c>
      <c r="K102" s="253">
        <f t="shared" si="48"/>
        <v>1500988.467843632</v>
      </c>
      <c r="L102" s="253">
        <f t="shared" si="48"/>
        <v>1339344.450439239</v>
      </c>
      <c r="M102" s="253">
        <f t="shared" si="48"/>
        <v>-858505</v>
      </c>
      <c r="N102" s="253">
        <f t="shared" si="41"/>
        <v>20834780.98468271</v>
      </c>
    </row>
    <row r="103" spans="1:14" ht="12.75">
      <c r="A103" s="45" t="s">
        <v>34</v>
      </c>
      <c r="B103" s="253">
        <f>+B22*(1+B50)</f>
        <v>16099000.000000002</v>
      </c>
      <c r="C103" s="253">
        <f aca="true" t="shared" si="49" ref="C103:M103">+C22*(1+C50)</f>
        <v>16096000</v>
      </c>
      <c r="D103" s="253">
        <f t="shared" si="49"/>
        <v>16097000</v>
      </c>
      <c r="E103" s="253">
        <f t="shared" si="49"/>
        <v>14254552.654285714</v>
      </c>
      <c r="F103" s="253">
        <f t="shared" si="49"/>
        <v>15703441.011682538</v>
      </c>
      <c r="G103" s="253">
        <f t="shared" si="49"/>
        <v>18366725.767619047</v>
      </c>
      <c r="H103" s="253">
        <f t="shared" si="49"/>
        <v>16116000</v>
      </c>
      <c r="I103" s="253">
        <f t="shared" si="49"/>
        <v>16118000.000000002</v>
      </c>
      <c r="J103" s="253">
        <f t="shared" si="49"/>
        <v>16126000</v>
      </c>
      <c r="K103" s="253">
        <f t="shared" si="49"/>
        <v>16111999.999999998</v>
      </c>
      <c r="L103" s="253">
        <f t="shared" si="49"/>
        <v>16108000</v>
      </c>
      <c r="M103" s="253">
        <f t="shared" si="49"/>
        <v>16104000.000000002</v>
      </c>
      <c r="N103" s="253">
        <f t="shared" si="41"/>
        <v>193300719.4335873</v>
      </c>
    </row>
    <row r="104" spans="1:14" ht="12.75">
      <c r="A104" s="45" t="s">
        <v>162</v>
      </c>
      <c r="B104" s="253">
        <f aca="true" t="shared" si="50" ref="B104:M104">+B23*(1+B52)</f>
        <v>0</v>
      </c>
      <c r="C104" s="253">
        <f t="shared" si="50"/>
        <v>0</v>
      </c>
      <c r="D104" s="253">
        <f t="shared" si="50"/>
        <v>0</v>
      </c>
      <c r="E104" s="253">
        <f t="shared" si="50"/>
        <v>0</v>
      </c>
      <c r="F104" s="253">
        <f t="shared" si="50"/>
        <v>0</v>
      </c>
      <c r="G104" s="253">
        <f t="shared" si="50"/>
        <v>0</v>
      </c>
      <c r="H104" s="253">
        <f t="shared" si="50"/>
        <v>0</v>
      </c>
      <c r="I104" s="253">
        <f t="shared" si="50"/>
        <v>0</v>
      </c>
      <c r="J104" s="253">
        <f t="shared" si="50"/>
        <v>0</v>
      </c>
      <c r="K104" s="253">
        <f t="shared" si="50"/>
        <v>0</v>
      </c>
      <c r="L104" s="253">
        <f t="shared" si="50"/>
        <v>0</v>
      </c>
      <c r="M104" s="253">
        <f t="shared" si="50"/>
        <v>0</v>
      </c>
      <c r="N104" s="253">
        <f t="shared" si="41"/>
        <v>0</v>
      </c>
    </row>
    <row r="105" spans="1:14" ht="12.75">
      <c r="A105" s="483" t="s">
        <v>216</v>
      </c>
      <c r="B105" s="253">
        <f>+B24*(1+B43)</f>
        <v>-2342614.7315738727</v>
      </c>
      <c r="C105" s="253">
        <f aca="true" t="shared" si="51" ref="C105:M105">+C24*(1+C43)</f>
        <v>-6065261.500927973</v>
      </c>
      <c r="D105" s="253">
        <f t="shared" si="51"/>
        <v>-6229642.76126793</v>
      </c>
      <c r="E105" s="253">
        <f t="shared" si="51"/>
        <v>-4216644.727209377</v>
      </c>
      <c r="F105" s="253">
        <f t="shared" si="51"/>
        <v>-10725539.805648394</v>
      </c>
      <c r="G105" s="253">
        <f t="shared" si="51"/>
        <v>-13254229.642668514</v>
      </c>
      <c r="H105" s="253">
        <f t="shared" si="51"/>
        <v>5558550.60562226</v>
      </c>
      <c r="I105" s="253">
        <f t="shared" si="51"/>
        <v>-312773.46158705745</v>
      </c>
      <c r="J105" s="253">
        <f t="shared" si="51"/>
        <v>-3745898.147112206</v>
      </c>
      <c r="K105" s="253">
        <f t="shared" si="51"/>
        <v>-11194075.76966405</v>
      </c>
      <c r="L105" s="253">
        <f t="shared" si="51"/>
        <v>-16223680.752400376</v>
      </c>
      <c r="M105" s="253">
        <f t="shared" si="51"/>
        <v>-6719516.267056847</v>
      </c>
      <c r="N105" s="253">
        <f t="shared" si="41"/>
        <v>-75471326.96149434</v>
      </c>
    </row>
    <row r="106" spans="1:14" ht="12.75">
      <c r="A106" s="45" t="s">
        <v>49</v>
      </c>
      <c r="B106" s="257">
        <f>SUM(B101:B105)</f>
        <v>30609297.091955543</v>
      </c>
      <c r="C106" s="257">
        <f aca="true" t="shared" si="52" ref="C106:M106">SUM(C101:C105)</f>
        <v>24032668.099072028</v>
      </c>
      <c r="D106" s="257">
        <f t="shared" si="52"/>
        <v>25735071.13347689</v>
      </c>
      <c r="E106" s="257">
        <f t="shared" si="52"/>
        <v>21833835.419250246</v>
      </c>
      <c r="F106" s="257">
        <f t="shared" si="52"/>
        <v>18712435.643353987</v>
      </c>
      <c r="G106" s="257">
        <f t="shared" si="52"/>
        <v>18268662.926779382</v>
      </c>
      <c r="H106" s="257">
        <f t="shared" si="52"/>
        <v>39160028.90518558</v>
      </c>
      <c r="I106" s="257">
        <f t="shared" si="52"/>
        <v>34571865.51277192</v>
      </c>
      <c r="J106" s="257">
        <f t="shared" si="52"/>
        <v>34046801.31955446</v>
      </c>
      <c r="K106" s="257">
        <f t="shared" si="52"/>
        <v>22272912.698179588</v>
      </c>
      <c r="L106" s="257">
        <f t="shared" si="52"/>
        <v>16086620.219777994</v>
      </c>
      <c r="M106" s="257">
        <f t="shared" si="52"/>
        <v>24372978.732943155</v>
      </c>
      <c r="N106" s="253">
        <f t="shared" si="41"/>
        <v>309703177.7023008</v>
      </c>
    </row>
    <row r="107" spans="1:14" ht="12.75">
      <c r="A107" s="45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</row>
    <row r="108" spans="1:14" ht="12.75">
      <c r="A108" s="46" t="s">
        <v>218</v>
      </c>
      <c r="B108" s="253">
        <f>+B98+B106</f>
        <v>1274435010.076109</v>
      </c>
      <c r="C108" s="253">
        <f aca="true" t="shared" si="53" ref="C108:L108">+C98+C106</f>
        <v>1157691843.6841624</v>
      </c>
      <c r="D108" s="253">
        <f t="shared" si="53"/>
        <v>1151935200.956617</v>
      </c>
      <c r="E108" s="253">
        <f t="shared" si="53"/>
        <v>968896109.4758906</v>
      </c>
      <c r="F108" s="253">
        <f t="shared" si="53"/>
        <v>949268594.4683012</v>
      </c>
      <c r="G108" s="253">
        <f t="shared" si="53"/>
        <v>878433541.1179268</v>
      </c>
      <c r="H108" s="253">
        <f t="shared" si="53"/>
        <v>965797772.1606729</v>
      </c>
      <c r="I108" s="253">
        <f t="shared" si="53"/>
        <v>958816314.8396393</v>
      </c>
      <c r="J108" s="253">
        <f t="shared" si="53"/>
        <v>898931725.5562832</v>
      </c>
      <c r="K108" s="253">
        <f t="shared" si="53"/>
        <v>951415786.0028768</v>
      </c>
      <c r="L108" s="253">
        <f t="shared" si="53"/>
        <v>1014490858.0305605</v>
      </c>
      <c r="M108" s="253">
        <f>+M98+M106</f>
        <v>1149512396.5191715</v>
      </c>
      <c r="N108" s="253">
        <f>SUM(B108:M108)</f>
        <v>12319625152.888212</v>
      </c>
    </row>
    <row r="109" spans="1:14" ht="12.75">
      <c r="A109" s="45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</row>
    <row r="110" spans="1:14" ht="12.75">
      <c r="A110" s="46" t="s">
        <v>137</v>
      </c>
      <c r="B110" s="253">
        <f>+B29*(1+B52)</f>
        <v>1302048.4592828848</v>
      </c>
      <c r="C110" s="253">
        <f aca="true" t="shared" si="54" ref="C110:M110">+C29*(1+C52)</f>
        <v>0</v>
      </c>
      <c r="D110" s="253">
        <f t="shared" si="54"/>
        <v>94844.38499922835</v>
      </c>
      <c r="E110" s="253">
        <f t="shared" si="54"/>
        <v>0</v>
      </c>
      <c r="F110" s="253">
        <f t="shared" si="54"/>
        <v>189688.7699984567</v>
      </c>
      <c r="G110" s="253">
        <f t="shared" si="54"/>
        <v>351542.7748340964</v>
      </c>
      <c r="H110" s="253">
        <f t="shared" si="54"/>
        <v>1040195.4833067545</v>
      </c>
      <c r="I110" s="253">
        <f t="shared" si="54"/>
        <v>243296.46586758576</v>
      </c>
      <c r="J110" s="253">
        <f t="shared" si="54"/>
        <v>0</v>
      </c>
      <c r="K110" s="253">
        <f t="shared" si="54"/>
        <v>309275.1684757446</v>
      </c>
      <c r="L110" s="253">
        <f t="shared" si="54"/>
        <v>286594.98945419</v>
      </c>
      <c r="M110" s="253">
        <f t="shared" si="54"/>
        <v>2117503.986830598</v>
      </c>
      <c r="N110" s="253">
        <f t="shared" si="41"/>
        <v>5934990.48304954</v>
      </c>
    </row>
    <row r="111" spans="2:14" ht="12.75">
      <c r="B111" s="257">
        <f>SUM(B110,B106,B98)</f>
        <v>1275737058.5353918</v>
      </c>
      <c r="C111" s="257">
        <f>SUM(C110,C106,C98)</f>
        <v>1157691843.6841624</v>
      </c>
      <c r="D111" s="257">
        <f aca="true" t="shared" si="55" ref="D111:N111">SUM(D110,D106,D98)</f>
        <v>1152030045.3416162</v>
      </c>
      <c r="E111" s="257">
        <f t="shared" si="55"/>
        <v>968896109.4758906</v>
      </c>
      <c r="F111" s="257">
        <f t="shared" si="55"/>
        <v>949458283.2382997</v>
      </c>
      <c r="G111" s="257">
        <f t="shared" si="55"/>
        <v>878785083.8927609</v>
      </c>
      <c r="H111" s="257">
        <f t="shared" si="55"/>
        <v>966837967.6439797</v>
      </c>
      <c r="I111" s="257">
        <f t="shared" si="55"/>
        <v>959059611.3055068</v>
      </c>
      <c r="J111" s="257">
        <f t="shared" si="55"/>
        <v>898931725.5562832</v>
      </c>
      <c r="K111" s="257">
        <f t="shared" si="55"/>
        <v>951725061.1713525</v>
      </c>
      <c r="L111" s="257">
        <f t="shared" si="55"/>
        <v>1014777453.0200148</v>
      </c>
      <c r="M111" s="257">
        <f t="shared" si="55"/>
        <v>1151629900.5060022</v>
      </c>
      <c r="N111" s="257">
        <f t="shared" si="55"/>
        <v>12325560143.371262</v>
      </c>
    </row>
    <row r="112" spans="1:13" ht="12.75">
      <c r="A112" s="212" t="s">
        <v>138</v>
      </c>
      <c r="B112" s="257">
        <f>B81-B111</f>
        <v>-1302048.459282875</v>
      </c>
      <c r="C112" s="257">
        <f aca="true" t="shared" si="56" ref="C112:M112">C81-C111</f>
        <v>0</v>
      </c>
      <c r="D112" s="257">
        <f t="shared" si="56"/>
        <v>-94844.38499903679</v>
      </c>
      <c r="E112" s="257">
        <f t="shared" si="56"/>
        <v>0</v>
      </c>
      <c r="F112" s="257">
        <f t="shared" si="56"/>
        <v>-189688.76999855042</v>
      </c>
      <c r="G112" s="257">
        <f t="shared" si="56"/>
        <v>-351542.7748340368</v>
      </c>
      <c r="H112" s="257">
        <f t="shared" si="56"/>
        <v>-1040195.4833067656</v>
      </c>
      <c r="I112" s="257">
        <f t="shared" si="56"/>
        <v>-243296.46586751938</v>
      </c>
      <c r="J112" s="257">
        <f t="shared" si="56"/>
        <v>0</v>
      </c>
      <c r="K112" s="257">
        <f t="shared" si="56"/>
        <v>-309275.1684757471</v>
      </c>
      <c r="L112" s="257">
        <f t="shared" si="56"/>
        <v>-286594.9894542694</v>
      </c>
      <c r="M112" s="257">
        <f t="shared" si="56"/>
        <v>-2117503.9868307114</v>
      </c>
    </row>
    <row r="113" ht="12.75">
      <c r="A113" s="212" t="s">
        <v>66</v>
      </c>
    </row>
    <row r="114" spans="1:13" ht="12.75">
      <c r="A114" s="213" t="s">
        <v>60</v>
      </c>
      <c r="B114" s="113">
        <f>+B88/B$98</f>
        <v>0.4557614322736097</v>
      </c>
      <c r="C114" s="113">
        <f aca="true" t="shared" si="57" ref="C114:L114">+C88/C$98</f>
        <v>0.46509247956401994</v>
      </c>
      <c r="D114" s="113">
        <f t="shared" si="57"/>
        <v>0.42569426391252047</v>
      </c>
      <c r="E114" s="113">
        <f t="shared" si="57"/>
        <v>0.3892638930156895</v>
      </c>
      <c r="F114" s="113">
        <f t="shared" si="57"/>
        <v>0.3661534150754009</v>
      </c>
      <c r="G114" s="113">
        <f t="shared" si="57"/>
        <v>0.3170753435535099</v>
      </c>
      <c r="H114" s="113">
        <f t="shared" si="57"/>
        <v>0.31713338466161717</v>
      </c>
      <c r="I114" s="113">
        <f t="shared" si="57"/>
        <v>0.3190707300690899</v>
      </c>
      <c r="J114" s="113">
        <f t="shared" si="57"/>
        <v>0.32206998272228776</v>
      </c>
      <c r="K114" s="113">
        <f t="shared" si="57"/>
        <v>0.35168949063832017</v>
      </c>
      <c r="L114" s="113">
        <f t="shared" si="57"/>
        <v>0.4055376478562745</v>
      </c>
      <c r="M114" s="113">
        <f>+M88/M$98</f>
        <v>0.43160330432434035</v>
      </c>
    </row>
    <row r="115" spans="1:13" ht="12.75">
      <c r="A115" s="213" t="s">
        <v>52</v>
      </c>
      <c r="B115" s="113">
        <f aca="true" t="shared" si="58" ref="B115:M115">+B89/B$98</f>
        <v>0.020918320391044964</v>
      </c>
      <c r="C115" s="113">
        <f t="shared" si="58"/>
        <v>0.01832265545056199</v>
      </c>
      <c r="D115" s="113">
        <f t="shared" si="58"/>
        <v>0.019261795232027795</v>
      </c>
      <c r="E115" s="113">
        <f t="shared" si="58"/>
        <v>0.020314266826114237</v>
      </c>
      <c r="F115" s="113">
        <f t="shared" si="58"/>
        <v>0.027697931538323103</v>
      </c>
      <c r="G115" s="113">
        <f t="shared" si="58"/>
        <v>0.023699258554500734</v>
      </c>
      <c r="H115" s="113">
        <f t="shared" si="58"/>
        <v>0.022817286979194173</v>
      </c>
      <c r="I115" s="113">
        <f t="shared" si="58"/>
        <v>0.022715186527256383</v>
      </c>
      <c r="J115" s="113">
        <f t="shared" si="58"/>
        <v>0.020646534197465673</v>
      </c>
      <c r="K115" s="113">
        <f t="shared" si="58"/>
        <v>0.021152766087362544</v>
      </c>
      <c r="L115" s="113">
        <f t="shared" si="58"/>
        <v>0.021094638799826572</v>
      </c>
      <c r="M115" s="113">
        <f t="shared" si="58"/>
        <v>0.020928736019347267</v>
      </c>
    </row>
    <row r="116" spans="1:13" ht="12.75">
      <c r="A116" s="213" t="s">
        <v>53</v>
      </c>
      <c r="B116" s="113">
        <f aca="true" t="shared" si="59" ref="B116:M116">+B90/B$98</f>
        <v>0.21167783858192749</v>
      </c>
      <c r="C116" s="113">
        <f t="shared" si="59"/>
        <v>0.2076198638192713</v>
      </c>
      <c r="D116" s="113">
        <f t="shared" si="59"/>
        <v>0.2158558772044537</v>
      </c>
      <c r="E116" s="113">
        <f t="shared" si="59"/>
        <v>0.2215908320205055</v>
      </c>
      <c r="F116" s="113">
        <f t="shared" si="59"/>
        <v>0.20830475676653526</v>
      </c>
      <c r="G116" s="113">
        <f t="shared" si="59"/>
        <v>0.23191449621539434</v>
      </c>
      <c r="H116" s="113">
        <f t="shared" si="59"/>
        <v>0.23564185366259255</v>
      </c>
      <c r="I116" s="113">
        <f t="shared" si="59"/>
        <v>0.22956802831493328</v>
      </c>
      <c r="J116" s="113">
        <f t="shared" si="59"/>
        <v>0.21940587598910516</v>
      </c>
      <c r="K116" s="113">
        <f t="shared" si="59"/>
        <v>0.22054228260029737</v>
      </c>
      <c r="L116" s="113">
        <f t="shared" si="59"/>
        <v>0.2103911512137323</v>
      </c>
      <c r="M116" s="113">
        <f t="shared" si="59"/>
        <v>0.20746800316872743</v>
      </c>
    </row>
    <row r="117" spans="1:13" ht="12.75">
      <c r="A117" s="213" t="s">
        <v>54</v>
      </c>
      <c r="B117" s="113">
        <f aca="true" t="shared" si="60" ref="B117:M117">+B91/B$98</f>
        <v>0.030488110454608662</v>
      </c>
      <c r="C117" s="113">
        <f t="shared" si="60"/>
        <v>0.03067088478544272</v>
      </c>
      <c r="D117" s="113">
        <f t="shared" si="60"/>
        <v>0.03324420057261658</v>
      </c>
      <c r="E117" s="113">
        <f t="shared" si="60"/>
        <v>0.03586874929660945</v>
      </c>
      <c r="F117" s="113">
        <f t="shared" si="60"/>
        <v>0.0369952668566723</v>
      </c>
      <c r="G117" s="113">
        <f t="shared" si="60"/>
        <v>0.04153874601945202</v>
      </c>
      <c r="H117" s="113">
        <f t="shared" si="60"/>
        <v>0.04439800211270313</v>
      </c>
      <c r="I117" s="113">
        <f t="shared" si="60"/>
        <v>0.044010064918575516</v>
      </c>
      <c r="J117" s="113">
        <f t="shared" si="60"/>
        <v>0.04336508295658078</v>
      </c>
      <c r="K117" s="113">
        <f t="shared" si="60"/>
        <v>0.03867142510928249</v>
      </c>
      <c r="L117" s="113">
        <f t="shared" si="60"/>
        <v>0.03559343052958955</v>
      </c>
      <c r="M117" s="113">
        <f t="shared" si="60"/>
        <v>0.03207590015016207</v>
      </c>
    </row>
    <row r="118" spans="1:13" ht="12.75">
      <c r="A118" s="213" t="s">
        <v>55</v>
      </c>
      <c r="B118" s="113">
        <f aca="true" t="shared" si="61" ref="B118:M118">+B92/B$98</f>
        <v>0.021826299651639337</v>
      </c>
      <c r="C118" s="113">
        <f t="shared" si="61"/>
        <v>0.018290284665712548</v>
      </c>
      <c r="D118" s="113">
        <f t="shared" si="61"/>
        <v>0.021540306391428163</v>
      </c>
      <c r="E118" s="113">
        <f t="shared" si="61"/>
        <v>0.021628543753016115</v>
      </c>
      <c r="F118" s="113">
        <f t="shared" si="61"/>
        <v>0.025989173488557185</v>
      </c>
      <c r="G118" s="113">
        <f t="shared" si="61"/>
        <v>0.02506042862833258</v>
      </c>
      <c r="H118" s="113">
        <f t="shared" si="61"/>
        <v>0.026973394749318327</v>
      </c>
      <c r="I118" s="113">
        <f t="shared" si="61"/>
        <v>0.02291980493809723</v>
      </c>
      <c r="J118" s="113">
        <f t="shared" si="61"/>
        <v>0.025385202099131022</v>
      </c>
      <c r="K118" s="113">
        <f t="shared" si="61"/>
        <v>0.019514496248553143</v>
      </c>
      <c r="L118" s="113">
        <f t="shared" si="61"/>
        <v>0.022319051291797256</v>
      </c>
      <c r="M118" s="113">
        <f t="shared" si="61"/>
        <v>0.021089728027188656</v>
      </c>
    </row>
    <row r="119" spans="1:13" ht="12.75">
      <c r="A119" s="213" t="s">
        <v>56</v>
      </c>
      <c r="B119" s="113">
        <f aca="true" t="shared" si="62" ref="B119:M119">+B93/B$98</f>
        <v>0.03242812638322032</v>
      </c>
      <c r="C119" s="113">
        <f t="shared" si="62"/>
        <v>0.03461380543489148</v>
      </c>
      <c r="D119" s="113">
        <f t="shared" si="62"/>
        <v>0.03788657734927233</v>
      </c>
      <c r="E119" s="113">
        <f t="shared" si="62"/>
        <v>0.04299881537701114</v>
      </c>
      <c r="F119" s="113">
        <f t="shared" si="62"/>
        <v>0.04743242961058412</v>
      </c>
      <c r="G119" s="113">
        <f t="shared" si="62"/>
        <v>0.05053394583634065</v>
      </c>
      <c r="H119" s="113">
        <f t="shared" si="62"/>
        <v>0.051779016400036876</v>
      </c>
      <c r="I119" s="113">
        <f t="shared" si="62"/>
        <v>0.049121452975665614</v>
      </c>
      <c r="J119" s="113">
        <f t="shared" si="62"/>
        <v>0.0505210929389038</v>
      </c>
      <c r="K119" s="113">
        <f t="shared" si="62"/>
        <v>0.04515456444071217</v>
      </c>
      <c r="L119" s="113">
        <f t="shared" si="62"/>
        <v>0.044269996537402476</v>
      </c>
      <c r="M119" s="113">
        <f t="shared" si="62"/>
        <v>0.04145438968799393</v>
      </c>
    </row>
    <row r="120" spans="1:13" ht="12.75">
      <c r="A120" s="213" t="s">
        <v>57</v>
      </c>
      <c r="B120" s="113">
        <f aca="true" t="shared" si="63" ref="B120:M120">+B94/B$98</f>
        <v>0.06300791081294158</v>
      </c>
      <c r="C120" s="113">
        <f t="shared" si="63"/>
        <v>0.062281371546162374</v>
      </c>
      <c r="D120" s="113">
        <f t="shared" si="63"/>
        <v>0.07117100777246269</v>
      </c>
      <c r="E120" s="113">
        <f t="shared" si="63"/>
        <v>0.08353068889696619</v>
      </c>
      <c r="F120" s="113">
        <f t="shared" si="63"/>
        <v>0.08876555733834549</v>
      </c>
      <c r="G120" s="113">
        <f t="shared" si="63"/>
        <v>0.08893076254370051</v>
      </c>
      <c r="H120" s="113">
        <f t="shared" si="63"/>
        <v>0.0874696636050531</v>
      </c>
      <c r="I120" s="113">
        <f t="shared" si="63"/>
        <v>0.09827382923304377</v>
      </c>
      <c r="J120" s="113">
        <f t="shared" si="63"/>
        <v>0.09686446516609519</v>
      </c>
      <c r="K120" s="113">
        <f t="shared" si="63"/>
        <v>0.09244490519872464</v>
      </c>
      <c r="L120" s="113">
        <f t="shared" si="63"/>
        <v>0.08194209300922889</v>
      </c>
      <c r="M120" s="113">
        <f t="shared" si="63"/>
        <v>0.06794145101016162</v>
      </c>
    </row>
    <row r="121" spans="1:13" ht="12.75">
      <c r="A121" s="213" t="s">
        <v>61</v>
      </c>
      <c r="B121" s="113">
        <f aca="true" t="shared" si="64" ref="B121:L121">+B95/B$98</f>
        <v>0.13816453720916771</v>
      </c>
      <c r="C121" s="113">
        <f t="shared" si="64"/>
        <v>0.1370723435952687</v>
      </c>
      <c r="D121" s="113">
        <f t="shared" si="64"/>
        <v>0.14860671315988655</v>
      </c>
      <c r="E121" s="113">
        <f t="shared" si="64"/>
        <v>0.1602616941693152</v>
      </c>
      <c r="F121" s="113">
        <f t="shared" si="64"/>
        <v>0.17149747796322037</v>
      </c>
      <c r="G121" s="113">
        <f t="shared" si="64"/>
        <v>0.19408502101039884</v>
      </c>
      <c r="H121" s="113">
        <f t="shared" si="64"/>
        <v>0.18620030752776046</v>
      </c>
      <c r="I121" s="113">
        <f t="shared" si="64"/>
        <v>0.18660124605000616</v>
      </c>
      <c r="J121" s="113">
        <f t="shared" si="64"/>
        <v>0.1927164543164148</v>
      </c>
      <c r="K121" s="113">
        <f t="shared" si="64"/>
        <v>0.18265853372743132</v>
      </c>
      <c r="L121" s="113">
        <f t="shared" si="64"/>
        <v>0.1490507750407111</v>
      </c>
      <c r="M121" s="113">
        <f>+M95/M$98</f>
        <v>0.1487773556510528</v>
      </c>
    </row>
    <row r="122" spans="1:13" ht="12.75">
      <c r="A122" s="213" t="s">
        <v>58</v>
      </c>
      <c r="B122" s="113">
        <f aca="true" t="shared" si="65" ref="B122:M122">+B96/B$98</f>
        <v>0.017642791446450756</v>
      </c>
      <c r="C122" s="113">
        <f t="shared" si="65"/>
        <v>0.017551663472391312</v>
      </c>
      <c r="D122" s="113">
        <f t="shared" si="65"/>
        <v>0.017255637916332937</v>
      </c>
      <c r="E122" s="113">
        <f t="shared" si="65"/>
        <v>0.014748939050573813</v>
      </c>
      <c r="F122" s="113">
        <f t="shared" si="65"/>
        <v>0.015723165881253227</v>
      </c>
      <c r="G122" s="113">
        <f t="shared" si="65"/>
        <v>0.016020852566387796</v>
      </c>
      <c r="H122" s="113">
        <f t="shared" si="65"/>
        <v>0.016281166518546004</v>
      </c>
      <c r="I122" s="113">
        <f t="shared" si="65"/>
        <v>0.01617959076775792</v>
      </c>
      <c r="J122" s="113">
        <f t="shared" si="65"/>
        <v>0.01675857598540038</v>
      </c>
      <c r="K122" s="113">
        <f t="shared" si="65"/>
        <v>0.01700270867142693</v>
      </c>
      <c r="L122" s="113">
        <f t="shared" si="65"/>
        <v>0.01824558979163418</v>
      </c>
      <c r="M122" s="113">
        <f t="shared" si="65"/>
        <v>0.018356287191581205</v>
      </c>
    </row>
    <row r="123" spans="1:13" ht="12.75">
      <c r="A123" s="213" t="s">
        <v>59</v>
      </c>
      <c r="B123" s="262">
        <f aca="true" t="shared" si="66" ref="B123:M123">+B97/B$98</f>
        <v>0.008084632795389556</v>
      </c>
      <c r="C123" s="262">
        <f t="shared" si="66"/>
        <v>0.008484647666277607</v>
      </c>
      <c r="D123" s="262">
        <f t="shared" si="66"/>
        <v>0.009483620488998598</v>
      </c>
      <c r="E123" s="262">
        <f t="shared" si="66"/>
        <v>0.009793577594198933</v>
      </c>
      <c r="F123" s="262">
        <f t="shared" si="66"/>
        <v>0.0114408254811081</v>
      </c>
      <c r="G123" s="262">
        <f t="shared" si="66"/>
        <v>0.011141145071982788</v>
      </c>
      <c r="H123" s="262">
        <f t="shared" si="66"/>
        <v>0.01130592378317809</v>
      </c>
      <c r="I123" s="262">
        <f t="shared" si="66"/>
        <v>0.011540066205574424</v>
      </c>
      <c r="J123" s="262">
        <f t="shared" si="66"/>
        <v>0.012266733628615458</v>
      </c>
      <c r="K123" s="262">
        <f t="shared" si="66"/>
        <v>0.01116882727788932</v>
      </c>
      <c r="L123" s="262">
        <f t="shared" si="66"/>
        <v>0.011555625929803203</v>
      </c>
      <c r="M123" s="262">
        <f t="shared" si="66"/>
        <v>0.010304844769444817</v>
      </c>
    </row>
    <row r="124" spans="1:13" ht="12.75">
      <c r="A124" s="213" t="s">
        <v>49</v>
      </c>
      <c r="B124" s="263">
        <f>SUM(B114:B123)</f>
        <v>0.9999999999999999</v>
      </c>
      <c r="C124" s="263">
        <f aca="true" t="shared" si="67" ref="C124:M124">SUM(C114:C123)</f>
        <v>1.0000000000000002</v>
      </c>
      <c r="D124" s="263">
        <f t="shared" si="67"/>
        <v>0.9999999999999997</v>
      </c>
      <c r="E124" s="263">
        <f t="shared" si="67"/>
        <v>1</v>
      </c>
      <c r="F124" s="263">
        <f t="shared" si="67"/>
        <v>1</v>
      </c>
      <c r="G124" s="263">
        <f t="shared" si="67"/>
        <v>1</v>
      </c>
      <c r="H124" s="263">
        <f t="shared" si="67"/>
        <v>1</v>
      </c>
      <c r="I124" s="263">
        <f t="shared" si="67"/>
        <v>1.0000000000000002</v>
      </c>
      <c r="J124" s="263">
        <f t="shared" si="67"/>
        <v>1</v>
      </c>
      <c r="K124" s="263">
        <f t="shared" si="67"/>
        <v>1.0000000000000002</v>
      </c>
      <c r="L124" s="263">
        <f t="shared" si="67"/>
        <v>1</v>
      </c>
      <c r="M124" s="263">
        <f t="shared" si="67"/>
        <v>1</v>
      </c>
    </row>
    <row r="126" ht="12.75">
      <c r="A126" s="212" t="s">
        <v>138</v>
      </c>
    </row>
    <row r="127" ht="12.75">
      <c r="A127" s="212" t="s">
        <v>66</v>
      </c>
    </row>
    <row r="128" spans="1:13" ht="12.75">
      <c r="A128" s="213" t="s">
        <v>60</v>
      </c>
      <c r="B128" s="113">
        <f>+B57/B$67</f>
        <v>0.4557614322736097</v>
      </c>
      <c r="C128" s="113">
        <f aca="true" t="shared" si="68" ref="C128:M128">+C57/C$67</f>
        <v>0.4650924795640199</v>
      </c>
      <c r="D128" s="113">
        <f t="shared" si="68"/>
        <v>0.4256942639125205</v>
      </c>
      <c r="E128" s="113">
        <f t="shared" si="68"/>
        <v>0.3892638930156895</v>
      </c>
      <c r="F128" s="113">
        <f t="shared" si="68"/>
        <v>0.3661534150754008</v>
      </c>
      <c r="G128" s="113">
        <f t="shared" si="68"/>
        <v>0.31707534355350986</v>
      </c>
      <c r="H128" s="113">
        <f t="shared" si="68"/>
        <v>0.31713338466161717</v>
      </c>
      <c r="I128" s="113">
        <f t="shared" si="68"/>
        <v>0.31907073006908976</v>
      </c>
      <c r="J128" s="113">
        <f t="shared" si="68"/>
        <v>0.32206998272228776</v>
      </c>
      <c r="K128" s="113">
        <f t="shared" si="68"/>
        <v>0.3516894906383201</v>
      </c>
      <c r="L128" s="113">
        <f t="shared" si="68"/>
        <v>0.4055376478562745</v>
      </c>
      <c r="M128" s="113">
        <f t="shared" si="68"/>
        <v>0.43160330432434024</v>
      </c>
    </row>
    <row r="129" spans="1:13" ht="12.75">
      <c r="A129" s="213" t="s">
        <v>52</v>
      </c>
      <c r="B129" s="113">
        <f aca="true" t="shared" si="69" ref="B129:M129">+B58/B$67</f>
        <v>0.020918320391044964</v>
      </c>
      <c r="C129" s="113">
        <f t="shared" si="69"/>
        <v>0.018322655450561987</v>
      </c>
      <c r="D129" s="113">
        <f t="shared" si="69"/>
        <v>0.019261795232027795</v>
      </c>
      <c r="E129" s="113">
        <f t="shared" si="69"/>
        <v>0.020314266826114237</v>
      </c>
      <c r="F129" s="113">
        <f t="shared" si="69"/>
        <v>0.027697931538323096</v>
      </c>
      <c r="G129" s="113">
        <f t="shared" si="69"/>
        <v>0.02369925855450073</v>
      </c>
      <c r="H129" s="113">
        <f t="shared" si="69"/>
        <v>0.022817286979194173</v>
      </c>
      <c r="I129" s="113">
        <f t="shared" si="69"/>
        <v>0.022715186527256372</v>
      </c>
      <c r="J129" s="113">
        <f t="shared" si="69"/>
        <v>0.020646534197465673</v>
      </c>
      <c r="K129" s="113">
        <f t="shared" si="69"/>
        <v>0.021152766087362544</v>
      </c>
      <c r="L129" s="113">
        <f t="shared" si="69"/>
        <v>0.021094638799826575</v>
      </c>
      <c r="M129" s="113">
        <f t="shared" si="69"/>
        <v>0.02092873601934726</v>
      </c>
    </row>
    <row r="130" spans="1:13" ht="12.75">
      <c r="A130" s="213" t="s">
        <v>53</v>
      </c>
      <c r="B130" s="113">
        <f aca="true" t="shared" si="70" ref="B130:M130">+B59/B$67</f>
        <v>0.21167783858192749</v>
      </c>
      <c r="C130" s="113">
        <f t="shared" si="70"/>
        <v>0.20761986381927128</v>
      </c>
      <c r="D130" s="113">
        <f t="shared" si="70"/>
        <v>0.21585587720445376</v>
      </c>
      <c r="E130" s="113">
        <f t="shared" si="70"/>
        <v>0.2215908320205055</v>
      </c>
      <c r="F130" s="113">
        <f t="shared" si="70"/>
        <v>0.2083047567665352</v>
      </c>
      <c r="G130" s="113">
        <f t="shared" si="70"/>
        <v>0.2319144962153943</v>
      </c>
      <c r="H130" s="113">
        <f t="shared" si="70"/>
        <v>0.23564185366259258</v>
      </c>
      <c r="I130" s="113">
        <f t="shared" si="70"/>
        <v>0.22956802831493323</v>
      </c>
      <c r="J130" s="113">
        <f t="shared" si="70"/>
        <v>0.21940587598910513</v>
      </c>
      <c r="K130" s="113">
        <f t="shared" si="70"/>
        <v>0.22054228260029737</v>
      </c>
      <c r="L130" s="113">
        <f t="shared" si="70"/>
        <v>0.21039115121373234</v>
      </c>
      <c r="M130" s="113">
        <f t="shared" si="70"/>
        <v>0.20746800316872738</v>
      </c>
    </row>
    <row r="131" spans="1:13" ht="12.75">
      <c r="A131" s="213" t="s">
        <v>54</v>
      </c>
      <c r="B131" s="113">
        <f aca="true" t="shared" si="71" ref="B131:M131">+B60/B$67</f>
        <v>0.030488110454608662</v>
      </c>
      <c r="C131" s="113">
        <f t="shared" si="71"/>
        <v>0.030670884785442713</v>
      </c>
      <c r="D131" s="113">
        <f t="shared" si="71"/>
        <v>0.03324420057261659</v>
      </c>
      <c r="E131" s="113">
        <f t="shared" si="71"/>
        <v>0.03586874929660945</v>
      </c>
      <c r="F131" s="113">
        <f t="shared" si="71"/>
        <v>0.03699526685667229</v>
      </c>
      <c r="G131" s="113">
        <f t="shared" si="71"/>
        <v>0.04153874601945201</v>
      </c>
      <c r="H131" s="113">
        <f t="shared" si="71"/>
        <v>0.04439800211270314</v>
      </c>
      <c r="I131" s="113">
        <f t="shared" si="71"/>
        <v>0.04401006491857551</v>
      </c>
      <c r="J131" s="113">
        <f t="shared" si="71"/>
        <v>0.04336508295658078</v>
      </c>
      <c r="K131" s="113">
        <f t="shared" si="71"/>
        <v>0.03867142510928248</v>
      </c>
      <c r="L131" s="113">
        <f t="shared" si="71"/>
        <v>0.035593430529589555</v>
      </c>
      <c r="M131" s="113">
        <f t="shared" si="71"/>
        <v>0.03207590015016207</v>
      </c>
    </row>
    <row r="132" spans="1:13" ht="12.75">
      <c r="A132" s="213" t="s">
        <v>55</v>
      </c>
      <c r="B132" s="113">
        <f aca="true" t="shared" si="72" ref="B132:M132">+B61/B$67</f>
        <v>0.02182629965163934</v>
      </c>
      <c r="C132" s="113">
        <f t="shared" si="72"/>
        <v>0.018290284665712545</v>
      </c>
      <c r="D132" s="113">
        <f t="shared" si="72"/>
        <v>0.021540306391428166</v>
      </c>
      <c r="E132" s="113">
        <f t="shared" si="72"/>
        <v>0.02162854375301611</v>
      </c>
      <c r="F132" s="113">
        <f t="shared" si="72"/>
        <v>0.025989173488557178</v>
      </c>
      <c r="G132" s="113">
        <f t="shared" si="72"/>
        <v>0.025060428628332576</v>
      </c>
      <c r="H132" s="113">
        <f t="shared" si="72"/>
        <v>0.026973394749318327</v>
      </c>
      <c r="I132" s="113">
        <f t="shared" si="72"/>
        <v>0.022919804938097223</v>
      </c>
      <c r="J132" s="113">
        <f t="shared" si="72"/>
        <v>0.02538520209913102</v>
      </c>
      <c r="K132" s="113">
        <f t="shared" si="72"/>
        <v>0.01951449624855314</v>
      </c>
      <c r="L132" s="113">
        <f t="shared" si="72"/>
        <v>0.02231905129179726</v>
      </c>
      <c r="M132" s="113">
        <f t="shared" si="72"/>
        <v>0.021089728027188653</v>
      </c>
    </row>
    <row r="133" spans="1:13" ht="12.75">
      <c r="A133" s="213" t="s">
        <v>56</v>
      </c>
      <c r="B133" s="113">
        <f aca="true" t="shared" si="73" ref="B133:M133">+B62/B$67</f>
        <v>0.03242812638322032</v>
      </c>
      <c r="C133" s="113">
        <f t="shared" si="73"/>
        <v>0.034613805434891474</v>
      </c>
      <c r="D133" s="113">
        <f t="shared" si="73"/>
        <v>0.03788657734927234</v>
      </c>
      <c r="E133" s="113">
        <f t="shared" si="73"/>
        <v>0.04299881537701114</v>
      </c>
      <c r="F133" s="113">
        <f t="shared" si="73"/>
        <v>0.04743242961058411</v>
      </c>
      <c r="G133" s="113">
        <f t="shared" si="73"/>
        <v>0.050533945836340646</v>
      </c>
      <c r="H133" s="113">
        <f t="shared" si="73"/>
        <v>0.051779016400036876</v>
      </c>
      <c r="I133" s="113">
        <f t="shared" si="73"/>
        <v>0.0491214529756656</v>
      </c>
      <c r="J133" s="113">
        <f t="shared" si="73"/>
        <v>0.05052109293890379</v>
      </c>
      <c r="K133" s="113">
        <f t="shared" si="73"/>
        <v>0.04515456444071217</v>
      </c>
      <c r="L133" s="113">
        <f t="shared" si="73"/>
        <v>0.04426999653740248</v>
      </c>
      <c r="M133" s="113">
        <f t="shared" si="73"/>
        <v>0.04145438968799391</v>
      </c>
    </row>
    <row r="134" spans="1:13" ht="12.75">
      <c r="A134" s="213" t="s">
        <v>57</v>
      </c>
      <c r="B134" s="113">
        <f aca="true" t="shared" si="74" ref="B134:L134">+B63/B$67</f>
        <v>0.06300791081294158</v>
      </c>
      <c r="C134" s="113">
        <f t="shared" si="74"/>
        <v>0.06228137154616236</v>
      </c>
      <c r="D134" s="113">
        <f t="shared" si="74"/>
        <v>0.0711710077724627</v>
      </c>
      <c r="E134" s="113">
        <f t="shared" si="74"/>
        <v>0.08353068889696619</v>
      </c>
      <c r="F134" s="113">
        <f t="shared" si="74"/>
        <v>0.08876555733834546</v>
      </c>
      <c r="G134" s="113">
        <f t="shared" si="74"/>
        <v>0.0889307625437005</v>
      </c>
      <c r="H134" s="113">
        <f t="shared" si="74"/>
        <v>0.0874696636050531</v>
      </c>
      <c r="I134" s="113">
        <f t="shared" si="74"/>
        <v>0.09827382923304374</v>
      </c>
      <c r="J134" s="113">
        <f t="shared" si="74"/>
        <v>0.09686446516609518</v>
      </c>
      <c r="K134" s="113">
        <f t="shared" si="74"/>
        <v>0.09244490519872464</v>
      </c>
      <c r="L134" s="113">
        <f t="shared" si="74"/>
        <v>0.0819420930092289</v>
      </c>
      <c r="M134" s="113">
        <f>+M63/M$67</f>
        <v>0.06794145101016161</v>
      </c>
    </row>
    <row r="135" spans="1:13" ht="12.75">
      <c r="A135" s="213" t="s">
        <v>61</v>
      </c>
      <c r="B135" s="113">
        <f aca="true" t="shared" si="75" ref="B135:M135">+B64/B$67</f>
        <v>0.13816453720916771</v>
      </c>
      <c r="C135" s="113">
        <f t="shared" si="75"/>
        <v>0.13707234359526868</v>
      </c>
      <c r="D135" s="113">
        <f t="shared" si="75"/>
        <v>0.14860671315988658</v>
      </c>
      <c r="E135" s="113">
        <f t="shared" si="75"/>
        <v>0.1602616941693152</v>
      </c>
      <c r="F135" s="113">
        <f t="shared" si="75"/>
        <v>0.17149747796322032</v>
      </c>
      <c r="G135" s="113">
        <f t="shared" si="75"/>
        <v>0.19408502101039882</v>
      </c>
      <c r="H135" s="113">
        <f t="shared" si="75"/>
        <v>0.18620030752776048</v>
      </c>
      <c r="I135" s="113">
        <f t="shared" si="75"/>
        <v>0.1866012460500061</v>
      </c>
      <c r="J135" s="113">
        <f t="shared" si="75"/>
        <v>0.19271645431641476</v>
      </c>
      <c r="K135" s="113">
        <f t="shared" si="75"/>
        <v>0.18265853372743132</v>
      </c>
      <c r="L135" s="113">
        <f t="shared" si="75"/>
        <v>0.14905077504071113</v>
      </c>
      <c r="M135" s="113">
        <f t="shared" si="75"/>
        <v>0.14877735565105274</v>
      </c>
    </row>
    <row r="136" spans="1:13" ht="12.75">
      <c r="A136" s="213" t="s">
        <v>58</v>
      </c>
      <c r="B136" s="113">
        <f aca="true" t="shared" si="76" ref="B136:M136">+B65/B$67</f>
        <v>0.017642791446450756</v>
      </c>
      <c r="C136" s="113">
        <f t="shared" si="76"/>
        <v>0.01755166347239131</v>
      </c>
      <c r="D136" s="113">
        <f t="shared" si="76"/>
        <v>0.01725563791633294</v>
      </c>
      <c r="E136" s="113">
        <f t="shared" si="76"/>
        <v>0.014748939050573812</v>
      </c>
      <c r="F136" s="113">
        <f t="shared" si="76"/>
        <v>0.015723165881253224</v>
      </c>
      <c r="G136" s="113">
        <f t="shared" si="76"/>
        <v>0.016020852566387793</v>
      </c>
      <c r="H136" s="113">
        <f t="shared" si="76"/>
        <v>0.016281166518546004</v>
      </c>
      <c r="I136" s="113">
        <f t="shared" si="76"/>
        <v>0.016179590767757913</v>
      </c>
      <c r="J136" s="113">
        <f t="shared" si="76"/>
        <v>0.016758575985400377</v>
      </c>
      <c r="K136" s="113">
        <f t="shared" si="76"/>
        <v>0.017002708671426926</v>
      </c>
      <c r="L136" s="113">
        <f t="shared" si="76"/>
        <v>0.01824558979163418</v>
      </c>
      <c r="M136" s="113">
        <f t="shared" si="76"/>
        <v>0.018356287191581198</v>
      </c>
    </row>
    <row r="137" spans="1:13" ht="12.75">
      <c r="A137" s="213" t="s">
        <v>59</v>
      </c>
      <c r="B137" s="262">
        <f aca="true" t="shared" si="77" ref="B137:M137">+B66/B$67</f>
        <v>0.008084632795389558</v>
      </c>
      <c r="C137" s="262">
        <f t="shared" si="77"/>
        <v>0.008484647666277606</v>
      </c>
      <c r="D137" s="262">
        <f t="shared" si="77"/>
        <v>0.0094836204889986</v>
      </c>
      <c r="E137" s="262">
        <f t="shared" si="77"/>
        <v>0.009793577594198931</v>
      </c>
      <c r="F137" s="262">
        <f t="shared" si="77"/>
        <v>0.011440825481108096</v>
      </c>
      <c r="G137" s="262">
        <f t="shared" si="77"/>
        <v>0.011141145071982786</v>
      </c>
      <c r="H137" s="262">
        <f t="shared" si="77"/>
        <v>0.01130592378317809</v>
      </c>
      <c r="I137" s="262">
        <f t="shared" si="77"/>
        <v>0.01154006620557442</v>
      </c>
      <c r="J137" s="262">
        <f t="shared" si="77"/>
        <v>0.012266733628615457</v>
      </c>
      <c r="K137" s="262">
        <f t="shared" si="77"/>
        <v>0.01116882727788932</v>
      </c>
      <c r="L137" s="262">
        <f t="shared" si="77"/>
        <v>0.011555625929803205</v>
      </c>
      <c r="M137" s="262">
        <f t="shared" si="77"/>
        <v>0.010304844769444814</v>
      </c>
    </row>
    <row r="138" spans="1:13" ht="12.75">
      <c r="A138" s="213" t="s">
        <v>49</v>
      </c>
      <c r="B138" s="263">
        <f aca="true" t="shared" si="78" ref="B138:M138">SUM(B128:B137)</f>
        <v>0.9999999999999999</v>
      </c>
      <c r="C138" s="263">
        <f t="shared" si="78"/>
        <v>0.9999999999999998</v>
      </c>
      <c r="D138" s="263">
        <f t="shared" si="78"/>
        <v>1</v>
      </c>
      <c r="E138" s="263">
        <f t="shared" si="78"/>
        <v>1</v>
      </c>
      <c r="F138" s="263">
        <f t="shared" si="78"/>
        <v>1</v>
      </c>
      <c r="G138" s="263">
        <f t="shared" si="78"/>
        <v>0.9999999999999999</v>
      </c>
      <c r="H138" s="263">
        <f t="shared" si="78"/>
        <v>1</v>
      </c>
      <c r="I138" s="263">
        <f t="shared" si="78"/>
        <v>0.9999999999999999</v>
      </c>
      <c r="J138" s="263">
        <f t="shared" si="78"/>
        <v>1</v>
      </c>
      <c r="K138" s="263">
        <f t="shared" si="78"/>
        <v>1</v>
      </c>
      <c r="L138" s="263">
        <f t="shared" si="78"/>
        <v>1</v>
      </c>
      <c r="M138" s="263">
        <f t="shared" si="78"/>
        <v>0.9999999999999999</v>
      </c>
    </row>
  </sheetData>
  <sheetProtection/>
  <printOptions/>
  <pageMargins left="0.7" right="0.7" top="0.75" bottom="0.75" header="0.3" footer="0.3"/>
  <pageSetup fitToHeight="2" horizontalDpi="600" verticalDpi="600" orientation="landscape" paperSize="17" scale="78" r:id="rId1"/>
  <rowBreaks count="1" manualBreakCount="1">
    <brk id="6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63"/>
  <sheetViews>
    <sheetView view="pageBreakPreview" zoomScale="60" zoomScaleNormal="115" zoomScalePageLayoutView="0" workbookViewId="0" topLeftCell="A1">
      <pane xSplit="2" ySplit="3" topLeftCell="E14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51" sqref="A151:B154"/>
    </sheetView>
  </sheetViews>
  <sheetFormatPr defaultColWidth="9.140625" defaultRowHeight="12.75"/>
  <cols>
    <col min="1" max="1" width="26.28125" style="277" customWidth="1"/>
    <col min="2" max="2" width="23.8515625" style="277" customWidth="1"/>
    <col min="3" max="3" width="19.00390625" style="277" customWidth="1"/>
    <col min="4" max="4" width="18.8515625" style="277" customWidth="1"/>
    <col min="5" max="6" width="20.00390625" style="277" customWidth="1"/>
    <col min="7" max="8" width="18.8515625" style="277" customWidth="1"/>
    <col min="9" max="9" width="18.28125" style="277" customWidth="1"/>
    <col min="10" max="10" width="19.00390625" style="277" customWidth="1"/>
    <col min="11" max="11" width="19.57421875" style="277" customWidth="1"/>
    <col min="12" max="12" width="20.7109375" style="277" customWidth="1"/>
    <col min="13" max="13" width="19.140625" style="277" customWidth="1"/>
    <col min="14" max="14" width="21.28125" style="277" customWidth="1"/>
    <col min="15" max="15" width="21.7109375" style="277" customWidth="1"/>
    <col min="16" max="16" width="15.00390625" style="277" bestFit="1" customWidth="1"/>
    <col min="17" max="17" width="13.140625" style="277" bestFit="1" customWidth="1"/>
    <col min="18" max="20" width="14.00390625" style="277" bestFit="1" customWidth="1"/>
    <col min="21" max="28" width="10.7109375" style="277" bestFit="1" customWidth="1"/>
    <col min="29" max="16384" width="9.140625" style="277" customWidth="1"/>
  </cols>
  <sheetData>
    <row r="1" ht="12.75">
      <c r="P1" s="278"/>
    </row>
    <row r="2" spans="4:16" ht="12.75">
      <c r="D2" s="277">
        <v>-1</v>
      </c>
      <c r="N2" s="277">
        <f>-1007860+989266</f>
        <v>-18594</v>
      </c>
      <c r="P2" s="278"/>
    </row>
    <row r="3" spans="1:16" s="461" customFormat="1" ht="25.5" customHeight="1">
      <c r="A3" s="458" t="s">
        <v>126</v>
      </c>
      <c r="B3" s="459" t="s">
        <v>199</v>
      </c>
      <c r="C3" s="460" t="s">
        <v>114</v>
      </c>
      <c r="D3" s="460" t="s">
        <v>115</v>
      </c>
      <c r="E3" s="460" t="s">
        <v>116</v>
      </c>
      <c r="F3" s="460" t="s">
        <v>117</v>
      </c>
      <c r="G3" s="460" t="s">
        <v>118</v>
      </c>
      <c r="H3" s="460" t="s">
        <v>119</v>
      </c>
      <c r="I3" s="460" t="s">
        <v>120</v>
      </c>
      <c r="J3" s="460" t="s">
        <v>121</v>
      </c>
      <c r="K3" s="460" t="s">
        <v>122</v>
      </c>
      <c r="L3" s="460" t="s">
        <v>123</v>
      </c>
      <c r="M3" s="460" t="s">
        <v>124</v>
      </c>
      <c r="N3" s="460" t="s">
        <v>125</v>
      </c>
      <c r="O3" s="460" t="s">
        <v>182</v>
      </c>
      <c r="P3" s="460"/>
    </row>
    <row r="4" spans="1:16" ht="12.75">
      <c r="A4" s="279" t="s">
        <v>188</v>
      </c>
      <c r="B4" s="279"/>
      <c r="C4" s="412">
        <v>61889407</v>
      </c>
      <c r="D4" s="412">
        <v>57762623</v>
      </c>
      <c r="E4" s="412">
        <v>61126630.99999999</v>
      </c>
      <c r="F4" s="412">
        <v>44691938</v>
      </c>
      <c r="G4" s="412">
        <v>42636159</v>
      </c>
      <c r="H4" s="412">
        <v>37019666.93</v>
      </c>
      <c r="I4" s="412">
        <v>44372201</v>
      </c>
      <c r="J4" s="412">
        <v>47455101</v>
      </c>
      <c r="K4" s="412">
        <v>43140173.00000001</v>
      </c>
      <c r="L4" s="412">
        <v>42786865.99999999</v>
      </c>
      <c r="M4" s="412">
        <v>44802451.999999985</v>
      </c>
      <c r="N4" s="412">
        <v>59355245</v>
      </c>
      <c r="O4" s="280">
        <f aca="true" t="shared" si="0" ref="O4:O10">SUM(C4:N4)</f>
        <v>587038462.9300001</v>
      </c>
      <c r="P4" s="301"/>
    </row>
    <row r="5" spans="1:16" ht="12.75">
      <c r="A5" s="279" t="s">
        <v>142</v>
      </c>
      <c r="B5" s="279"/>
      <c r="C5" s="413">
        <v>3812809</v>
      </c>
      <c r="D5" s="413">
        <v>5717618</v>
      </c>
      <c r="E5" s="413">
        <v>3094571</v>
      </c>
      <c r="F5" s="413">
        <v>6938322</v>
      </c>
      <c r="G5" s="413">
        <v>1958908</v>
      </c>
      <c r="H5" s="413">
        <v>2266977</v>
      </c>
      <c r="I5" s="413">
        <v>2125306</v>
      </c>
      <c r="J5" s="413">
        <v>2917073</v>
      </c>
      <c r="K5" s="413">
        <v>5727637</v>
      </c>
      <c r="L5" s="413">
        <v>2525810</v>
      </c>
      <c r="M5" s="413">
        <f>2157072+1396579</f>
        <v>3553651</v>
      </c>
      <c r="N5" s="413">
        <f>6926417+2020208</f>
        <v>8946625</v>
      </c>
      <c r="O5" s="281">
        <f t="shared" si="0"/>
        <v>49585307</v>
      </c>
      <c r="P5" s="301"/>
    </row>
    <row r="6" spans="1:17" ht="12.75">
      <c r="A6" s="279" t="s">
        <v>143</v>
      </c>
      <c r="B6" s="279"/>
      <c r="C6" s="413">
        <v>1384283</v>
      </c>
      <c r="D6" s="414">
        <v>1252750</v>
      </c>
      <c r="E6" s="414">
        <v>2193107</v>
      </c>
      <c r="F6" s="414">
        <v>1771439</v>
      </c>
      <c r="G6" s="414">
        <v>2567339</v>
      </c>
      <c r="H6" s="414">
        <v>1986579</v>
      </c>
      <c r="I6" s="414">
        <v>2043955</v>
      </c>
      <c r="J6" s="414">
        <v>850870</v>
      </c>
      <c r="K6" s="414">
        <v>1632437</v>
      </c>
      <c r="L6" s="414">
        <v>4139260</v>
      </c>
      <c r="M6" s="414">
        <v>2855938</v>
      </c>
      <c r="N6" s="415">
        <f>4987104-1007860+989266</f>
        <v>4968510</v>
      </c>
      <c r="O6" s="281">
        <f t="shared" si="0"/>
        <v>27646467</v>
      </c>
      <c r="P6" s="301"/>
      <c r="Q6" s="281"/>
    </row>
    <row r="7" spans="1:16" ht="12.75">
      <c r="A7" s="282" t="s">
        <v>31</v>
      </c>
      <c r="B7" s="282"/>
      <c r="C7" s="413">
        <v>68146</v>
      </c>
      <c r="D7" s="413">
        <v>0</v>
      </c>
      <c r="E7" s="413">
        <v>2361</v>
      </c>
      <c r="F7" s="413">
        <v>0</v>
      </c>
      <c r="G7" s="413">
        <v>25649</v>
      </c>
      <c r="H7" s="413">
        <v>23959</v>
      </c>
      <c r="I7" s="413">
        <v>123733</v>
      </c>
      <c r="J7" s="413">
        <v>33872</v>
      </c>
      <c r="K7" s="413">
        <v>291</v>
      </c>
      <c r="L7" s="413">
        <v>10169</v>
      </c>
      <c r="M7" s="413">
        <v>8474</v>
      </c>
      <c r="N7" s="413">
        <v>189621</v>
      </c>
      <c r="O7" s="281">
        <f t="shared" si="0"/>
        <v>486275</v>
      </c>
      <c r="P7" s="301"/>
    </row>
    <row r="8" spans="1:16" ht="25.5">
      <c r="A8" s="279" t="s">
        <v>166</v>
      </c>
      <c r="B8" s="279"/>
      <c r="C8" s="413">
        <v>9056.368026495036</v>
      </c>
      <c r="D8" s="413">
        <v>6999.524304790805</v>
      </c>
      <c r="E8" s="413">
        <v>9056.368026495036</v>
      </c>
      <c r="F8" s="413">
        <v>9056.4</v>
      </c>
      <c r="G8" s="413">
        <v>9056.36802649504</v>
      </c>
      <c r="H8" s="413">
        <v>9056.36802649504</v>
      </c>
      <c r="I8" s="413">
        <v>9056.36802649504</v>
      </c>
      <c r="J8" s="413">
        <v>9056.36802649504</v>
      </c>
      <c r="K8" s="413">
        <v>9056.36802649504</v>
      </c>
      <c r="L8" s="413">
        <v>9056.36802649504</v>
      </c>
      <c r="M8" s="413">
        <v>9056.36802649504</v>
      </c>
      <c r="N8" s="413">
        <v>9056.36802649504</v>
      </c>
      <c r="O8" s="281">
        <f t="shared" si="0"/>
        <v>106619.60456974119</v>
      </c>
      <c r="P8" s="301"/>
    </row>
    <row r="9" spans="1:16" ht="25.5">
      <c r="A9" s="279" t="s">
        <v>213</v>
      </c>
      <c r="B9" s="279" t="s">
        <v>0</v>
      </c>
      <c r="C9" s="413">
        <v>-183333.33333333334</v>
      </c>
      <c r="D9" s="413">
        <v>-183333.33333333334</v>
      </c>
      <c r="E9" s="413">
        <v>-183333.33333333334</v>
      </c>
      <c r="F9" s="413">
        <v>-183333.33333333334</v>
      </c>
      <c r="G9" s="413">
        <v>-183333.33333333334</v>
      </c>
      <c r="H9" s="413">
        <v>-183333.33333333334</v>
      </c>
      <c r="I9" s="413">
        <v>-183333.33333333334</v>
      </c>
      <c r="J9" s="413">
        <v>-183333.33333333334</v>
      </c>
      <c r="K9" s="413">
        <v>-183333.33333333334</v>
      </c>
      <c r="L9" s="413">
        <v>-183333.33333333334</v>
      </c>
      <c r="M9" s="413">
        <v>-183333.33333333334</v>
      </c>
      <c r="N9" s="413">
        <v>-183333.33333333334</v>
      </c>
      <c r="O9" s="281">
        <f t="shared" si="0"/>
        <v>-2199999.9999999995</v>
      </c>
      <c r="P9" s="301"/>
    </row>
    <row r="10" spans="1:16" ht="25.5">
      <c r="A10" s="279" t="s">
        <v>214</v>
      </c>
      <c r="B10" s="279"/>
      <c r="C10" s="413">
        <v>289301.82999999827</v>
      </c>
      <c r="D10" s="413">
        <v>583512.4900000081</v>
      </c>
      <c r="E10" s="413">
        <v>1896793.7200000072</v>
      </c>
      <c r="F10" s="413">
        <v>348955.46</v>
      </c>
      <c r="G10" s="413">
        <v>-1525155.15</v>
      </c>
      <c r="H10" s="413">
        <v>2112777.11</v>
      </c>
      <c r="I10" s="413">
        <v>1468367.223404</v>
      </c>
      <c r="J10" s="413">
        <v>-2000482.2839999998</v>
      </c>
      <c r="K10" s="413">
        <v>2759459.82</v>
      </c>
      <c r="L10" s="413">
        <v>513038.2</v>
      </c>
      <c r="M10" s="413">
        <v>712016.45</v>
      </c>
      <c r="N10" s="413">
        <v>2186543</v>
      </c>
      <c r="O10" s="281">
        <f t="shared" si="0"/>
        <v>9345127.869404014</v>
      </c>
      <c r="P10" s="301"/>
    </row>
    <row r="11" spans="1:15" ht="12.75">
      <c r="A11" s="279"/>
      <c r="B11" s="279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281"/>
    </row>
    <row r="12" spans="1:14" ht="12.75">
      <c r="A12" s="278" t="s">
        <v>128</v>
      </c>
      <c r="B12" s="278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6" ht="12.75">
      <c r="A13" s="277" t="s">
        <v>67</v>
      </c>
      <c r="C13" s="281">
        <v>55553.63308</v>
      </c>
      <c r="D13" s="281">
        <v>80801.27881</v>
      </c>
      <c r="E13" s="281">
        <v>5578.3911865</v>
      </c>
      <c r="F13" s="281">
        <v>79599.33024000001</v>
      </c>
      <c r="G13" s="281">
        <v>174921.8809</v>
      </c>
      <c r="H13" s="281">
        <v>39312.576043500005</v>
      </c>
      <c r="I13" s="281">
        <v>101212.40115</v>
      </c>
      <c r="J13" s="281">
        <v>179440.36533</v>
      </c>
      <c r="K13" s="281">
        <v>421007.44064999995</v>
      </c>
      <c r="L13" s="281">
        <v>88531.41319000002</v>
      </c>
      <c r="M13" s="416">
        <v>88376.8788327</v>
      </c>
      <c r="N13" s="477">
        <v>-75669.72833</v>
      </c>
      <c r="O13" s="281">
        <f>SUM(C13:N13)</f>
        <v>1238665.8610826998</v>
      </c>
      <c r="P13" s="301"/>
    </row>
    <row r="14" spans="1:16" ht="12.75">
      <c r="A14" s="277" t="s">
        <v>296</v>
      </c>
      <c r="C14" s="281">
        <v>613.8030799999999</v>
      </c>
      <c r="D14" s="281">
        <v>582.05881</v>
      </c>
      <c r="E14" s="281">
        <v>81.9411865</v>
      </c>
      <c r="F14" s="281">
        <v>717.3102399999999</v>
      </c>
      <c r="G14" s="281">
        <v>1467.0909</v>
      </c>
      <c r="H14" s="281">
        <v>329.7360435</v>
      </c>
      <c r="I14" s="281">
        <v>764.71115</v>
      </c>
      <c r="J14" s="281">
        <v>1345.6753299999998</v>
      </c>
      <c r="K14" s="281">
        <v>3193.60065</v>
      </c>
      <c r="L14" s="281">
        <v>791.79114</v>
      </c>
      <c r="M14" s="416">
        <v>752.4288327</v>
      </c>
      <c r="N14" s="416">
        <v>382.56167</v>
      </c>
      <c r="O14" s="281">
        <f>SUM(C14:N14)</f>
        <v>11022.709032699997</v>
      </c>
      <c r="P14" s="301"/>
    </row>
    <row r="15" spans="1:16" ht="12.75">
      <c r="A15" s="277" t="s">
        <v>297</v>
      </c>
      <c r="C15" s="281">
        <v>0</v>
      </c>
      <c r="D15" s="281">
        <v>79.99</v>
      </c>
      <c r="E15" s="281">
        <v>753.61975</v>
      </c>
      <c r="F15" s="281">
        <v>5429.36</v>
      </c>
      <c r="G15" s="281">
        <v>10996.895</v>
      </c>
      <c r="H15" s="281">
        <v>347.51525</v>
      </c>
      <c r="I15" s="281">
        <v>1499.105</v>
      </c>
      <c r="J15" s="281">
        <v>3708.78</v>
      </c>
      <c r="K15" s="281">
        <v>26016.85</v>
      </c>
      <c r="L15" s="281">
        <v>56355.99</v>
      </c>
      <c r="M15" s="417">
        <v>8004.562050000001</v>
      </c>
      <c r="N15" s="417">
        <v>4069.8050000000003</v>
      </c>
      <c r="O15" s="281">
        <f>SUM(C15:N15)</f>
        <v>117262.47205000001</v>
      </c>
      <c r="P15" s="301"/>
    </row>
    <row r="16" spans="1:16" ht="12.75">
      <c r="A16" s="277" t="s">
        <v>298</v>
      </c>
      <c r="C16" s="281">
        <f>C13-C14-C15</f>
        <v>54939.83</v>
      </c>
      <c r="D16" s="281">
        <f aca="true" t="shared" si="1" ref="D16:L16">D13-D14-D15</f>
        <v>80139.23</v>
      </c>
      <c r="E16" s="281">
        <f t="shared" si="1"/>
        <v>4742.83025</v>
      </c>
      <c r="F16" s="281">
        <f t="shared" si="1"/>
        <v>73452.66</v>
      </c>
      <c r="G16" s="281">
        <f t="shared" si="1"/>
        <v>162457.895</v>
      </c>
      <c r="H16" s="281">
        <f t="shared" si="1"/>
        <v>38635.32475000001</v>
      </c>
      <c r="I16" s="281">
        <f t="shared" si="1"/>
        <v>98948.585</v>
      </c>
      <c r="J16" s="281">
        <f t="shared" si="1"/>
        <v>174385.91</v>
      </c>
      <c r="K16" s="281">
        <f t="shared" si="1"/>
        <v>391796.99</v>
      </c>
      <c r="L16" s="281">
        <f t="shared" si="1"/>
        <v>31383.632050000022</v>
      </c>
      <c r="M16" s="418">
        <v>79619.88794999999</v>
      </c>
      <c r="N16" s="477">
        <v>-80122.095</v>
      </c>
      <c r="O16" s="281">
        <f>SUM(C16:N16)</f>
        <v>1110380.68</v>
      </c>
      <c r="P16" s="301"/>
    </row>
    <row r="17" spans="3:15" ht="12.75"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281"/>
    </row>
    <row r="18" spans="1:16" ht="12.75">
      <c r="A18" s="278" t="s">
        <v>127</v>
      </c>
      <c r="B18" s="278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281"/>
      <c r="P18" s="283"/>
    </row>
    <row r="19" spans="1:2" ht="12.75">
      <c r="A19" s="278" t="s">
        <v>43</v>
      </c>
      <c r="B19" s="278"/>
    </row>
    <row r="20" spans="1:18" ht="12.75">
      <c r="A20" s="284" t="s">
        <v>133</v>
      </c>
      <c r="B20" s="284"/>
      <c r="C20" s="285">
        <v>477650496.95838153</v>
      </c>
      <c r="D20" s="285">
        <v>442450450.0425785</v>
      </c>
      <c r="E20" s="285">
        <v>403494860</v>
      </c>
      <c r="F20" s="285">
        <v>315347216.7897849</v>
      </c>
      <c r="G20" s="285">
        <v>294978034.1138689</v>
      </c>
      <c r="H20" s="285">
        <v>243828437.47998047</v>
      </c>
      <c r="I20" s="285">
        <v>262364587.082362</v>
      </c>
      <c r="J20" s="285">
        <v>258479839.74298802</v>
      </c>
      <c r="K20" s="285">
        <v>249605357.20606196</v>
      </c>
      <c r="L20" s="285">
        <v>285359202.15832216</v>
      </c>
      <c r="M20" s="421">
        <v>347708058.181024</v>
      </c>
      <c r="N20" s="421">
        <v>394843212</v>
      </c>
      <c r="O20" s="286">
        <f>SUM(C20:N20)</f>
        <v>3976109751.755353</v>
      </c>
      <c r="P20" s="288"/>
      <c r="Q20" s="50"/>
      <c r="R20" s="288"/>
    </row>
    <row r="21" spans="1:18" ht="15">
      <c r="A21" s="284" t="s">
        <v>134</v>
      </c>
      <c r="B21" s="284"/>
      <c r="C21" s="422">
        <v>23855178.990237243</v>
      </c>
      <c r="D21" s="422">
        <v>22431754.551344037</v>
      </c>
      <c r="E21" s="422">
        <v>19764518</v>
      </c>
      <c r="F21" s="422">
        <v>15398310.699881107</v>
      </c>
      <c r="G21" s="422">
        <v>10483919.003031641</v>
      </c>
      <c r="H21" s="422">
        <v>7061483.37404649</v>
      </c>
      <c r="I21" s="422">
        <v>6335988.448771084</v>
      </c>
      <c r="J21" s="422">
        <v>6672370.289254477</v>
      </c>
      <c r="K21" s="422">
        <v>7026889.7815697305</v>
      </c>
      <c r="L21" s="422">
        <v>9947136.304728251</v>
      </c>
      <c r="M21" s="423">
        <v>17307906.5344232</v>
      </c>
      <c r="N21" s="423">
        <v>24832982</v>
      </c>
      <c r="O21" s="321">
        <f aca="true" t="shared" si="2" ref="O21:O31">SUM(C21:N21)</f>
        <v>171118437.97728726</v>
      </c>
      <c r="P21" s="288"/>
      <c r="Q21" s="50"/>
      <c r="R21" s="288"/>
    </row>
    <row r="22" spans="1:18" ht="12.75">
      <c r="A22" s="284" t="s">
        <v>135</v>
      </c>
      <c r="B22" s="284"/>
      <c r="C22" s="285">
        <f aca="true" t="shared" si="3" ref="C22:N22">SUM(C20:C21)</f>
        <v>501505675.94861877</v>
      </c>
      <c r="D22" s="285">
        <f t="shared" si="3"/>
        <v>464882204.59392256</v>
      </c>
      <c r="E22" s="285">
        <f t="shared" si="3"/>
        <v>423259378</v>
      </c>
      <c r="F22" s="285">
        <f t="shared" si="3"/>
        <v>330745527.489666</v>
      </c>
      <c r="G22" s="285">
        <f t="shared" si="3"/>
        <v>305461953.11690056</v>
      </c>
      <c r="H22" s="285">
        <f t="shared" si="3"/>
        <v>250889920.85402697</v>
      </c>
      <c r="I22" s="285">
        <f t="shared" si="3"/>
        <v>268700575.53113306</v>
      </c>
      <c r="J22" s="285">
        <f t="shared" si="3"/>
        <v>265152210.0322425</v>
      </c>
      <c r="K22" s="285">
        <f t="shared" si="3"/>
        <v>256632246.98763168</v>
      </c>
      <c r="L22" s="285">
        <f t="shared" si="3"/>
        <v>295306338.4630504</v>
      </c>
      <c r="M22" s="285">
        <f t="shared" si="3"/>
        <v>365015964.7154472</v>
      </c>
      <c r="N22" s="285">
        <f t="shared" si="3"/>
        <v>419676194</v>
      </c>
      <c r="O22" s="286">
        <f t="shared" si="2"/>
        <v>4147228189.7326393</v>
      </c>
      <c r="P22" s="288"/>
      <c r="Q22" s="50"/>
      <c r="R22" s="288"/>
    </row>
    <row r="23" spans="1:18" ht="12.75">
      <c r="A23" s="277" t="s">
        <v>52</v>
      </c>
      <c r="C23" s="285">
        <v>23196440.312278003</v>
      </c>
      <c r="D23" s="285">
        <v>18261373.3489052</v>
      </c>
      <c r="E23" s="285">
        <v>19040730.6</v>
      </c>
      <c r="F23" s="285">
        <v>17153217.571460128</v>
      </c>
      <c r="G23" s="285">
        <v>22745206.70104555</v>
      </c>
      <c r="H23" s="285">
        <v>18717898.4542254</v>
      </c>
      <c r="I23" s="285">
        <v>19214121.68180956</v>
      </c>
      <c r="J23" s="285">
        <v>18826176.507146157</v>
      </c>
      <c r="K23" s="285">
        <v>16214672.170562118</v>
      </c>
      <c r="L23" s="285">
        <v>18016562.21546253</v>
      </c>
      <c r="M23" s="424">
        <v>19467617.3770046</v>
      </c>
      <c r="N23" s="424">
        <v>21305474</v>
      </c>
      <c r="O23" s="286">
        <f t="shared" si="2"/>
        <v>232159490.9398992</v>
      </c>
      <c r="P23" s="288"/>
      <c r="Q23" s="50"/>
      <c r="R23" s="288"/>
    </row>
    <row r="24" spans="1:18" ht="12.75">
      <c r="A24" s="277" t="s">
        <v>53</v>
      </c>
      <c r="C24" s="425">
        <v>242996015.56144333</v>
      </c>
      <c r="D24" s="425">
        <v>217637562.99575168</v>
      </c>
      <c r="E24" s="425">
        <v>225194460.4</v>
      </c>
      <c r="F24" s="425">
        <v>196549718.23212498</v>
      </c>
      <c r="G24" s="425">
        <v>180492177.6325801</v>
      </c>
      <c r="H24" s="425">
        <v>188222387.18880153</v>
      </c>
      <c r="I24" s="425">
        <v>205624740.23204827</v>
      </c>
      <c r="J24" s="425">
        <v>199368722.3350351</v>
      </c>
      <c r="K24" s="425">
        <v>179465352.0754118</v>
      </c>
      <c r="L24" s="425">
        <v>192528643.9728651</v>
      </c>
      <c r="M24" s="424">
        <v>197305709.22727</v>
      </c>
      <c r="N24" s="424">
        <v>214826870</v>
      </c>
      <c r="O24" s="286">
        <f t="shared" si="2"/>
        <v>2440212359.853332</v>
      </c>
      <c r="P24" s="288"/>
      <c r="Q24" s="50"/>
      <c r="R24" s="288"/>
    </row>
    <row r="25" spans="1:18" ht="12.75">
      <c r="A25" s="277" t="s">
        <v>54</v>
      </c>
      <c r="C25" s="285">
        <v>35384085</v>
      </c>
      <c r="D25" s="285">
        <v>32478840</v>
      </c>
      <c r="E25" s="285">
        <v>35044783</v>
      </c>
      <c r="F25" s="285">
        <v>32099840</v>
      </c>
      <c r="G25" s="285">
        <v>32388681</v>
      </c>
      <c r="H25" s="285">
        <v>33923432</v>
      </c>
      <c r="I25" s="285">
        <v>39029802</v>
      </c>
      <c r="J25" s="285">
        <v>38507362</v>
      </c>
      <c r="K25" s="285">
        <v>35795202</v>
      </c>
      <c r="L25" s="285">
        <v>34087314</v>
      </c>
      <c r="M25" s="424">
        <v>33679634</v>
      </c>
      <c r="N25" s="424">
        <v>33699809</v>
      </c>
      <c r="O25" s="286">
        <f t="shared" si="2"/>
        <v>416118784</v>
      </c>
      <c r="P25" s="288"/>
      <c r="Q25" s="50"/>
      <c r="R25" s="288"/>
    </row>
    <row r="26" spans="1:18" ht="12.75">
      <c r="A26" s="277" t="s">
        <v>55</v>
      </c>
      <c r="C26" s="285">
        <v>25229445.805481</v>
      </c>
      <c r="D26" s="285">
        <v>19323227.572377637</v>
      </c>
      <c r="E26" s="285">
        <v>22642655.2</v>
      </c>
      <c r="F26" s="285">
        <v>19302987.695269145</v>
      </c>
      <c r="G26" s="285">
        <v>22688387.17415382</v>
      </c>
      <c r="H26" s="285">
        <v>20439784.00174185</v>
      </c>
      <c r="I26" s="285">
        <v>23609358.684217505</v>
      </c>
      <c r="J26" s="285">
        <v>19952999.13397017</v>
      </c>
      <c r="K26" s="285">
        <v>20887705.075352997</v>
      </c>
      <c r="L26" s="285">
        <v>17125888.80601851</v>
      </c>
      <c r="M26" s="424">
        <v>21005123.8657883</v>
      </c>
      <c r="N26" s="424">
        <v>22017745</v>
      </c>
      <c r="O26" s="286">
        <f t="shared" si="2"/>
        <v>254225308.01437095</v>
      </c>
      <c r="P26" s="288"/>
      <c r="Q26" s="50"/>
      <c r="R26" s="288"/>
    </row>
    <row r="27" spans="1:18" ht="12.75">
      <c r="A27" s="277" t="s">
        <v>56</v>
      </c>
      <c r="C27" s="285">
        <v>37650555.5347632</v>
      </c>
      <c r="D27" s="285">
        <v>36677589.158154175</v>
      </c>
      <c r="E27" s="285">
        <v>39962490.3</v>
      </c>
      <c r="F27" s="285">
        <v>38471160.97201656</v>
      </c>
      <c r="G27" s="285">
        <v>41557817.07109299</v>
      </c>
      <c r="H27" s="285">
        <v>41276286.18845342</v>
      </c>
      <c r="I27" s="285">
        <v>45466768.9543557</v>
      </c>
      <c r="J27" s="285">
        <v>42952950.006609425</v>
      </c>
      <c r="K27" s="285">
        <v>41710634.41972458</v>
      </c>
      <c r="L27" s="285">
        <v>39764331.60367684</v>
      </c>
      <c r="M27" s="424">
        <v>41802513.8660747</v>
      </c>
      <c r="N27" s="424">
        <v>43444394</v>
      </c>
      <c r="O27" s="286">
        <f t="shared" si="2"/>
        <v>490737492.0749216</v>
      </c>
      <c r="P27" s="288"/>
      <c r="Q27" s="50"/>
      <c r="R27" s="288"/>
    </row>
    <row r="28" spans="1:18" ht="12.75">
      <c r="A28" s="277" t="s">
        <v>57</v>
      </c>
      <c r="C28" s="285">
        <v>75147654</v>
      </c>
      <c r="D28" s="285">
        <v>67805806.46000001</v>
      </c>
      <c r="E28" s="285">
        <v>76858490.3</v>
      </c>
      <c r="F28" s="285">
        <v>75976885</v>
      </c>
      <c r="G28" s="285">
        <v>79176682</v>
      </c>
      <c r="H28" s="285">
        <v>73366357</v>
      </c>
      <c r="I28" s="285">
        <v>78428871.49000001</v>
      </c>
      <c r="J28" s="285">
        <v>87325892.49000001</v>
      </c>
      <c r="K28" s="285">
        <v>80982682.28</v>
      </c>
      <c r="L28" s="285">
        <v>82530586.89</v>
      </c>
      <c r="M28" s="424">
        <v>78402567.9</v>
      </c>
      <c r="N28" s="424">
        <v>73017860</v>
      </c>
      <c r="O28" s="286">
        <f t="shared" si="2"/>
        <v>929020335.81</v>
      </c>
      <c r="P28" s="288"/>
      <c r="Q28" s="50"/>
      <c r="R28" s="288"/>
    </row>
    <row r="29" spans="1:18" ht="12.75">
      <c r="A29" s="277" t="s">
        <v>268</v>
      </c>
      <c r="C29" s="285">
        <v>168427184</v>
      </c>
      <c r="D29" s="285">
        <v>152293184</v>
      </c>
      <c r="E29" s="285">
        <v>164019702</v>
      </c>
      <c r="F29" s="285">
        <v>148745494</v>
      </c>
      <c r="G29" s="285">
        <v>156390545</v>
      </c>
      <c r="H29" s="285">
        <v>163571376</v>
      </c>
      <c r="I29" s="285">
        <v>169045208</v>
      </c>
      <c r="J29" s="285">
        <v>168979474</v>
      </c>
      <c r="K29" s="285">
        <v>163334786</v>
      </c>
      <c r="L29" s="285">
        <v>166327148</v>
      </c>
      <c r="M29" s="424">
        <v>145846994</v>
      </c>
      <c r="N29" s="424">
        <v>164059346</v>
      </c>
      <c r="O29" s="286">
        <f t="shared" si="2"/>
        <v>1931040441</v>
      </c>
      <c r="P29" s="288"/>
      <c r="Q29" s="50"/>
      <c r="R29" s="288"/>
    </row>
    <row r="30" spans="1:18" ht="12.75">
      <c r="A30" s="277" t="s">
        <v>58</v>
      </c>
      <c r="C30" s="285">
        <v>20847939</v>
      </c>
      <c r="D30" s="285">
        <v>18950053</v>
      </c>
      <c r="E30" s="285">
        <v>18459219</v>
      </c>
      <c r="F30" s="285">
        <v>13291070</v>
      </c>
      <c r="G30" s="285">
        <v>13891129</v>
      </c>
      <c r="H30" s="285">
        <v>13116932</v>
      </c>
      <c r="I30" s="285">
        <v>14512395</v>
      </c>
      <c r="J30" s="285">
        <v>14291664</v>
      </c>
      <c r="K30" s="285">
        <v>13950220</v>
      </c>
      <c r="L30" s="285">
        <v>15078518</v>
      </c>
      <c r="M30" s="424">
        <v>17317098</v>
      </c>
      <c r="N30" s="424">
        <v>19469831</v>
      </c>
      <c r="O30" s="286">
        <f t="shared" si="2"/>
        <v>193176068</v>
      </c>
      <c r="P30" s="288"/>
      <c r="Q30" s="50"/>
      <c r="R30" s="288"/>
    </row>
    <row r="31" spans="1:18" ht="12.75">
      <c r="A31" s="277" t="s">
        <v>59</v>
      </c>
      <c r="C31" s="285">
        <v>8813798.897940882</v>
      </c>
      <c r="D31" s="285">
        <v>8446606.06700477</v>
      </c>
      <c r="E31" s="285">
        <v>9443171.6</v>
      </c>
      <c r="F31" s="285">
        <v>8389567.569661273</v>
      </c>
      <c r="G31" s="285">
        <v>9652358.564065441</v>
      </c>
      <c r="H31" s="285">
        <v>8921119.6055458</v>
      </c>
      <c r="I31" s="285">
        <v>9649081.137936331</v>
      </c>
      <c r="J31" s="285">
        <v>9710438.021894474</v>
      </c>
      <c r="K31" s="285">
        <v>9842954.085819809</v>
      </c>
      <c r="L31" s="285">
        <v>9450826.818453029</v>
      </c>
      <c r="M31" s="424">
        <v>10466437.8334925</v>
      </c>
      <c r="N31" s="424">
        <v>10062901</v>
      </c>
      <c r="O31" s="286">
        <f t="shared" si="2"/>
        <v>112849261.20181432</v>
      </c>
      <c r="P31" s="288"/>
      <c r="Q31" s="50"/>
      <c r="R31" s="288"/>
    </row>
    <row r="32" spans="1:16" ht="12.75">
      <c r="A32" s="278" t="s">
        <v>63</v>
      </c>
      <c r="C32" s="288">
        <f>SUM(C22:C31)</f>
        <v>1139198794.0605252</v>
      </c>
      <c r="D32" s="288">
        <f aca="true" t="shared" si="4" ref="D32:O32">SUM(D22:D31)</f>
        <v>1036756447.1961161</v>
      </c>
      <c r="E32" s="288">
        <f t="shared" si="4"/>
        <v>1033925080.4</v>
      </c>
      <c r="F32" s="288">
        <f t="shared" si="4"/>
        <v>880725468.530198</v>
      </c>
      <c r="G32" s="288">
        <f t="shared" si="4"/>
        <v>864444937.2598385</v>
      </c>
      <c r="H32" s="288">
        <f t="shared" si="4"/>
        <v>812445493.292795</v>
      </c>
      <c r="I32" s="288">
        <f t="shared" si="4"/>
        <v>873280922.7115004</v>
      </c>
      <c r="J32" s="288">
        <f t="shared" si="4"/>
        <v>865067888.5268978</v>
      </c>
      <c r="K32" s="288">
        <f t="shared" si="4"/>
        <v>818816455.094503</v>
      </c>
      <c r="L32" s="288">
        <f t="shared" si="4"/>
        <v>870216158.7695264</v>
      </c>
      <c r="M32" s="426">
        <f t="shared" si="4"/>
        <v>930309660.7850773</v>
      </c>
      <c r="N32" s="426">
        <f t="shared" si="4"/>
        <v>1021580424</v>
      </c>
      <c r="O32" s="427">
        <f t="shared" si="4"/>
        <v>11146767730.626978</v>
      </c>
      <c r="P32" s="288"/>
    </row>
    <row r="33" spans="3:15" ht="12.75"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426"/>
      <c r="N33" s="426"/>
      <c r="O33" s="427"/>
    </row>
    <row r="34" spans="1:14" ht="12.75">
      <c r="A34" s="484" t="s">
        <v>130</v>
      </c>
      <c r="B34" s="484"/>
      <c r="M34" s="290"/>
      <c r="N34" s="290"/>
    </row>
    <row r="35" spans="1:18" ht="12.75">
      <c r="A35" s="485" t="s">
        <v>108</v>
      </c>
      <c r="B35" s="485"/>
      <c r="C35" s="285">
        <v>15498000</v>
      </c>
      <c r="D35" s="285">
        <v>12474000</v>
      </c>
      <c r="E35" s="285">
        <v>15456000</v>
      </c>
      <c r="F35" s="285">
        <v>10080000</v>
      </c>
      <c r="G35" s="285">
        <v>10416000</v>
      </c>
      <c r="H35" s="285">
        <v>12290144</v>
      </c>
      <c r="I35" s="285">
        <v>15498000.000000002</v>
      </c>
      <c r="J35" s="285">
        <v>15498000.000000002</v>
      </c>
      <c r="K35" s="285">
        <v>14490000</v>
      </c>
      <c r="L35" s="285">
        <v>15498000.000000002</v>
      </c>
      <c r="M35" s="424">
        <v>14532000</v>
      </c>
      <c r="N35" s="424">
        <v>15498000</v>
      </c>
      <c r="O35" s="286">
        <f>SUM(C35:N35)</f>
        <v>167228144</v>
      </c>
      <c r="P35" s="288"/>
      <c r="Q35" s="50"/>
      <c r="R35" s="288"/>
    </row>
    <row r="36" spans="1:18" ht="12.75">
      <c r="A36" s="485" t="s">
        <v>67</v>
      </c>
      <c r="B36" s="485"/>
      <c r="C36" s="285">
        <f>C37+C38</f>
        <v>990072</v>
      </c>
      <c r="D36" s="285">
        <f aca="true" t="shared" si="5" ref="D36:N36">D37+D38</f>
        <v>1221360</v>
      </c>
      <c r="E36" s="285">
        <f t="shared" si="5"/>
        <v>70166</v>
      </c>
      <c r="F36" s="285">
        <f t="shared" si="5"/>
        <v>1461992</v>
      </c>
      <c r="G36" s="285">
        <f t="shared" si="5"/>
        <v>3019161</v>
      </c>
      <c r="H36" s="285">
        <f t="shared" si="5"/>
        <v>576793.05</v>
      </c>
      <c r="I36" s="285">
        <f t="shared" si="5"/>
        <v>1591343</v>
      </c>
      <c r="J36" s="285">
        <f t="shared" si="5"/>
        <v>2833973</v>
      </c>
      <c r="K36" s="285">
        <f t="shared" si="5"/>
        <v>6682206</v>
      </c>
      <c r="L36" s="285">
        <f>L37+L38</f>
        <v>1466770</v>
      </c>
      <c r="M36" s="324">
        <f t="shared" si="5"/>
        <v>1309936.4100000001</v>
      </c>
      <c r="N36" s="324">
        <f t="shared" si="5"/>
        <v>-858505</v>
      </c>
      <c r="O36" s="286">
        <f>SUM(C36:N36)</f>
        <v>20365267.46</v>
      </c>
      <c r="P36" s="288"/>
      <c r="Q36" s="50"/>
      <c r="R36" s="288"/>
    </row>
    <row r="37" spans="1:16" ht="12.75">
      <c r="A37" s="485" t="s">
        <v>259</v>
      </c>
      <c r="B37" s="485"/>
      <c r="C37" s="285">
        <v>-315892</v>
      </c>
      <c r="D37" s="285">
        <v>-1065</v>
      </c>
      <c r="E37" s="285">
        <v>14547</v>
      </c>
      <c r="F37" s="285">
        <v>1021672</v>
      </c>
      <c r="G37" s="285">
        <v>2097070</v>
      </c>
      <c r="H37" s="285">
        <v>-55269.95</v>
      </c>
      <c r="I37" s="285">
        <v>264119</v>
      </c>
      <c r="J37" s="285">
        <v>712590</v>
      </c>
      <c r="K37" s="285">
        <v>5090681</v>
      </c>
      <c r="L37" s="285">
        <v>500259</v>
      </c>
      <c r="M37" s="428">
        <v>16825.41000000015</v>
      </c>
      <c r="N37" s="476">
        <v>-1190279</v>
      </c>
      <c r="O37" s="286">
        <f>SUM(C37:N37)</f>
        <v>8155257.460000001</v>
      </c>
      <c r="P37" s="288"/>
    </row>
    <row r="38" spans="1:16" ht="12.75">
      <c r="A38" s="485" t="s">
        <v>260</v>
      </c>
      <c r="B38" s="485"/>
      <c r="C38" s="285">
        <v>1305964</v>
      </c>
      <c r="D38" s="285">
        <v>1222425</v>
      </c>
      <c r="E38" s="285">
        <v>55619</v>
      </c>
      <c r="F38" s="285">
        <v>440320</v>
      </c>
      <c r="G38" s="285">
        <v>922091</v>
      </c>
      <c r="H38" s="285">
        <v>632063</v>
      </c>
      <c r="I38" s="285">
        <v>1327224</v>
      </c>
      <c r="J38" s="285">
        <v>2121383</v>
      </c>
      <c r="K38" s="285">
        <v>1591525</v>
      </c>
      <c r="L38" s="285">
        <v>966511</v>
      </c>
      <c r="M38" s="428">
        <v>1293111</v>
      </c>
      <c r="N38" s="428">
        <v>331774</v>
      </c>
      <c r="O38" s="286">
        <f>SUM(C38:N38)</f>
        <v>12210010</v>
      </c>
      <c r="P38" s="288"/>
    </row>
    <row r="39" spans="1:18" ht="12.75">
      <c r="A39" s="485" t="s">
        <v>163</v>
      </c>
      <c r="B39" s="485"/>
      <c r="C39" s="285">
        <v>15750000</v>
      </c>
      <c r="D39" s="285">
        <v>15750000</v>
      </c>
      <c r="E39" s="285">
        <v>15750000</v>
      </c>
      <c r="F39" s="285">
        <v>13943805</v>
      </c>
      <c r="G39" s="285">
        <v>15356339</v>
      </c>
      <c r="H39" s="285">
        <v>17945157</v>
      </c>
      <c r="I39" s="285">
        <v>15750000</v>
      </c>
      <c r="J39" s="285">
        <v>15750000</v>
      </c>
      <c r="K39" s="285">
        <v>15750000</v>
      </c>
      <c r="L39" s="285">
        <v>15750000</v>
      </c>
      <c r="M39" s="429">
        <v>15750000</v>
      </c>
      <c r="N39" s="429">
        <v>15750000</v>
      </c>
      <c r="O39" s="286">
        <f>SUM(C39:N39)</f>
        <v>188995301</v>
      </c>
      <c r="P39" s="288"/>
      <c r="Q39" s="50"/>
      <c r="R39" s="288"/>
    </row>
    <row r="40" spans="1:15" ht="12.75">
      <c r="A40" s="485" t="s">
        <v>151</v>
      </c>
      <c r="B40" s="4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8"/>
    </row>
    <row r="41" spans="1:15" ht="12.75">
      <c r="A41" s="485" t="s">
        <v>299</v>
      </c>
      <c r="B41" s="485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</row>
    <row r="42" spans="1:16" ht="12.75">
      <c r="A42" s="485" t="s">
        <v>139</v>
      </c>
      <c r="B42" s="485"/>
      <c r="C42" s="322">
        <f>SUM(C35:C41)-C36</f>
        <v>32238072</v>
      </c>
      <c r="D42" s="322">
        <f aca="true" t="shared" si="6" ref="D42:N42">SUM(D35:D41)-D36</f>
        <v>29445360</v>
      </c>
      <c r="E42" s="322">
        <f t="shared" si="6"/>
        <v>31276166</v>
      </c>
      <c r="F42" s="322">
        <f t="shared" si="6"/>
        <v>25485797</v>
      </c>
      <c r="G42" s="322">
        <f t="shared" si="6"/>
        <v>28791500</v>
      </c>
      <c r="H42" s="322">
        <f t="shared" si="6"/>
        <v>30812094.05</v>
      </c>
      <c r="I42" s="322">
        <f t="shared" si="6"/>
        <v>32839343</v>
      </c>
      <c r="J42" s="322">
        <f t="shared" si="6"/>
        <v>34081973</v>
      </c>
      <c r="K42" s="322">
        <f t="shared" si="6"/>
        <v>36922206</v>
      </c>
      <c r="L42" s="322">
        <f t="shared" si="6"/>
        <v>32714770</v>
      </c>
      <c r="M42" s="322">
        <f t="shared" si="6"/>
        <v>31591936.41</v>
      </c>
      <c r="N42" s="322">
        <f t="shared" si="6"/>
        <v>30389495</v>
      </c>
      <c r="O42" s="322">
        <f>SUM(O35:O41)-O36</f>
        <v>376588712.46000004</v>
      </c>
      <c r="P42" s="288"/>
    </row>
    <row r="43" spans="3:15" ht="12.75"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8"/>
    </row>
    <row r="44" spans="1:16" ht="12.75">
      <c r="A44" s="277" t="s">
        <v>279</v>
      </c>
      <c r="C44" s="322">
        <f>C32+C42</f>
        <v>1171436866.0605252</v>
      </c>
      <c r="D44" s="322">
        <f aca="true" t="shared" si="7" ref="D44:M44">D32+D42</f>
        <v>1066201807.1961161</v>
      </c>
      <c r="E44" s="322">
        <f t="shared" si="7"/>
        <v>1065201246.4</v>
      </c>
      <c r="F44" s="322">
        <f t="shared" si="7"/>
        <v>906211265.530198</v>
      </c>
      <c r="G44" s="322">
        <f t="shared" si="7"/>
        <v>893236437.2598385</v>
      </c>
      <c r="H44" s="322">
        <f t="shared" si="7"/>
        <v>843257587.3427949</v>
      </c>
      <c r="I44" s="322">
        <f t="shared" si="7"/>
        <v>906120265.7115004</v>
      </c>
      <c r="J44" s="322">
        <f t="shared" si="7"/>
        <v>899149861.5268978</v>
      </c>
      <c r="K44" s="322">
        <f t="shared" si="7"/>
        <v>855738661.094503</v>
      </c>
      <c r="L44" s="322">
        <f t="shared" si="7"/>
        <v>902930928.7695264</v>
      </c>
      <c r="M44" s="322">
        <f t="shared" si="7"/>
        <v>961901597.1950773</v>
      </c>
      <c r="N44" s="322">
        <f>N32+N42</f>
        <v>1051969919</v>
      </c>
      <c r="O44" s="286">
        <f>O32+O42</f>
        <v>11523356443.086979</v>
      </c>
      <c r="P44" s="288"/>
    </row>
    <row r="45" spans="12:16" ht="12.75">
      <c r="L45" s="50"/>
      <c r="P45" s="289"/>
    </row>
    <row r="46" spans="1:15" ht="12.75">
      <c r="A46" s="278" t="s">
        <v>131</v>
      </c>
      <c r="B46" s="297" t="s">
        <v>270</v>
      </c>
      <c r="C46" s="430">
        <v>1263000</v>
      </c>
      <c r="D46" s="430">
        <v>0</v>
      </c>
      <c r="E46" s="430">
        <v>92000</v>
      </c>
      <c r="F46" s="430">
        <v>0</v>
      </c>
      <c r="G46" s="430">
        <v>184000</v>
      </c>
      <c r="H46" s="430">
        <v>341000</v>
      </c>
      <c r="I46" s="430">
        <v>1009000</v>
      </c>
      <c r="J46" s="430">
        <v>236000</v>
      </c>
      <c r="K46" s="430">
        <v>0</v>
      </c>
      <c r="L46" s="430">
        <v>300000</v>
      </c>
      <c r="M46" s="430">
        <v>278000</v>
      </c>
      <c r="N46" s="430">
        <v>2054000</v>
      </c>
      <c r="O46" s="286">
        <f aca="true" t="shared" si="8" ref="O46:O59">SUM(C46:N46)</f>
        <v>5757000</v>
      </c>
    </row>
    <row r="47" spans="1:16" ht="12.75">
      <c r="A47" s="278" t="s">
        <v>217</v>
      </c>
      <c r="B47" s="297" t="s">
        <v>269</v>
      </c>
      <c r="C47" s="285">
        <v>-16000</v>
      </c>
      <c r="D47" s="285">
        <v>0</v>
      </c>
      <c r="E47" s="285">
        <v>4000</v>
      </c>
      <c r="F47" s="285">
        <v>0</v>
      </c>
      <c r="G47" s="285">
        <v>6000</v>
      </c>
      <c r="H47" s="285">
        <v>12000</v>
      </c>
      <c r="I47" s="285">
        <v>31000</v>
      </c>
      <c r="J47" s="285">
        <v>6000</v>
      </c>
      <c r="K47" s="285">
        <v>0</v>
      </c>
      <c r="L47" s="285">
        <v>12000</v>
      </c>
      <c r="M47" s="285">
        <v>11000</v>
      </c>
      <c r="N47" s="285">
        <v>64000</v>
      </c>
      <c r="O47" s="286">
        <f t="shared" si="8"/>
        <v>130000</v>
      </c>
      <c r="P47" s="289"/>
    </row>
    <row r="48" spans="6:15" ht="12.75">
      <c r="F48" s="289"/>
      <c r="M48" s="290"/>
      <c r="N48" s="290"/>
      <c r="O48" s="289"/>
    </row>
    <row r="49" spans="1:15" ht="12.75">
      <c r="A49" s="278" t="s">
        <v>218</v>
      </c>
      <c r="C49" s="430">
        <v>1239125423</v>
      </c>
      <c r="D49" s="430">
        <v>1113140851.196116</v>
      </c>
      <c r="E49" s="430">
        <v>1108279373.35</v>
      </c>
      <c r="F49" s="430">
        <v>936238220.530198</v>
      </c>
      <c r="G49" s="430">
        <v>912511270.2598386</v>
      </c>
      <c r="H49" s="430">
        <v>882393807</v>
      </c>
      <c r="I49" s="430">
        <v>956586543</v>
      </c>
      <c r="J49" s="430">
        <v>954979665.9999999</v>
      </c>
      <c r="K49" s="430">
        <v>899144849.994503</v>
      </c>
      <c r="L49" s="430">
        <v>962939502.4195265</v>
      </c>
      <c r="M49" s="430">
        <v>1024126846.1950774</v>
      </c>
      <c r="N49" s="430">
        <v>1168197060.7003794</v>
      </c>
      <c r="O49" s="286">
        <f t="shared" si="8"/>
        <v>12157663413.645641</v>
      </c>
    </row>
    <row r="50" spans="1:15" ht="12.75">
      <c r="A50" s="278"/>
      <c r="C50" s="285"/>
      <c r="D50" s="285"/>
      <c r="E50" s="285"/>
      <c r="F50" s="285"/>
      <c r="G50" s="285"/>
      <c r="H50" s="285"/>
      <c r="I50" s="285"/>
      <c r="J50" s="285"/>
      <c r="K50" s="285"/>
      <c r="L50" s="298"/>
      <c r="M50" s="324"/>
      <c r="N50" s="324"/>
      <c r="O50" s="288"/>
    </row>
    <row r="51" spans="1:15" ht="12.75">
      <c r="A51" s="290" t="s">
        <v>61</v>
      </c>
      <c r="B51" s="278"/>
      <c r="C51" s="285">
        <v>168427184</v>
      </c>
      <c r="D51" s="285">
        <v>152293184</v>
      </c>
      <c r="E51" s="285">
        <v>164019702</v>
      </c>
      <c r="F51" s="285">
        <v>148745494</v>
      </c>
      <c r="G51" s="285">
        <v>156390545</v>
      </c>
      <c r="H51" s="285">
        <v>163571376</v>
      </c>
      <c r="I51" s="285">
        <v>169045208</v>
      </c>
      <c r="J51" s="285">
        <v>168979474</v>
      </c>
      <c r="K51" s="285">
        <v>163334786</v>
      </c>
      <c r="L51" s="285">
        <v>166327148</v>
      </c>
      <c r="M51" s="424">
        <v>145846994</v>
      </c>
      <c r="N51" s="424">
        <v>164059346</v>
      </c>
      <c r="O51" s="286">
        <f t="shared" si="8"/>
        <v>1931040441</v>
      </c>
    </row>
    <row r="52" spans="1:15" ht="12.75">
      <c r="A52" s="277" t="s">
        <v>190</v>
      </c>
      <c r="C52" s="431">
        <v>663648.28</v>
      </c>
      <c r="D52" s="431">
        <v>557794.2</v>
      </c>
      <c r="E52" s="431">
        <v>473089.52</v>
      </c>
      <c r="F52" s="431">
        <v>396656.66</v>
      </c>
      <c r="G52" s="431">
        <v>369658.11</v>
      </c>
      <c r="H52" s="431">
        <v>270201.61</v>
      </c>
      <c r="I52" s="431">
        <v>707846.729218695</v>
      </c>
      <c r="J52" s="431">
        <v>497596.67</v>
      </c>
      <c r="K52" s="293">
        <v>390047.5</v>
      </c>
      <c r="L52" s="293">
        <v>342335.02</v>
      </c>
      <c r="M52" s="419">
        <v>280907.83</v>
      </c>
      <c r="N52" s="419">
        <v>549873.04</v>
      </c>
      <c r="O52" s="286">
        <f t="shared" si="8"/>
        <v>5499655.169218694</v>
      </c>
    </row>
    <row r="53" spans="1:15" ht="12.75">
      <c r="A53" s="277" t="s">
        <v>189</v>
      </c>
      <c r="C53" s="477">
        <v>-937900.2823929903</v>
      </c>
      <c r="D53" s="477">
        <v>-1011318.43110354</v>
      </c>
      <c r="E53" s="477">
        <v>-774072.87465</v>
      </c>
      <c r="F53" s="477">
        <v>-617012.68</v>
      </c>
      <c r="G53" s="477">
        <v>-919424.28515</v>
      </c>
      <c r="H53" s="477">
        <v>-941765.12</v>
      </c>
      <c r="I53" s="477">
        <v>-485049.40615</v>
      </c>
      <c r="J53" s="477">
        <v>-548128.15035</v>
      </c>
      <c r="K53" s="477">
        <v>-644460.28</v>
      </c>
      <c r="L53" s="477">
        <v>-981621.35</v>
      </c>
      <c r="M53" s="477">
        <v>-1189966.1065050997</v>
      </c>
      <c r="N53" s="477">
        <v>-1173590.1565799487</v>
      </c>
      <c r="O53" s="286">
        <f t="shared" si="8"/>
        <v>-10224309.12288158</v>
      </c>
    </row>
    <row r="54" ht="12.75">
      <c r="L54" s="50"/>
    </row>
    <row r="55" spans="1:15" ht="12.75">
      <c r="A55" s="277" t="s">
        <v>191</v>
      </c>
      <c r="C55" s="285">
        <v>168427184</v>
      </c>
      <c r="D55" s="285">
        <v>152293184</v>
      </c>
      <c r="E55" s="285">
        <v>164019702</v>
      </c>
      <c r="F55" s="285">
        <v>148745494</v>
      </c>
      <c r="G55" s="285">
        <v>156390545</v>
      </c>
      <c r="H55" s="285">
        <v>163571376</v>
      </c>
      <c r="I55" s="285">
        <v>169045208</v>
      </c>
      <c r="J55" s="285">
        <v>168979474</v>
      </c>
      <c r="K55" s="285">
        <v>163334786</v>
      </c>
      <c r="L55" s="285">
        <v>166327148</v>
      </c>
      <c r="M55" s="424">
        <v>145846994</v>
      </c>
      <c r="N55" s="424">
        <v>164059346</v>
      </c>
      <c r="O55" s="286">
        <f t="shared" si="8"/>
        <v>1931040441</v>
      </c>
    </row>
    <row r="56" spans="1:15" ht="12.75">
      <c r="A56" s="277" t="s">
        <v>192</v>
      </c>
      <c r="C56" s="285">
        <v>11631978</v>
      </c>
      <c r="D56" s="285">
        <v>10462061</v>
      </c>
      <c r="E56" s="285">
        <v>11681030</v>
      </c>
      <c r="F56" s="285">
        <v>10331985</v>
      </c>
      <c r="G56" s="285">
        <v>8074254</v>
      </c>
      <c r="H56" s="285">
        <v>5621768</v>
      </c>
      <c r="I56" s="285">
        <v>16146145</v>
      </c>
      <c r="J56" s="285">
        <v>12071176</v>
      </c>
      <c r="K56" s="285">
        <v>9085452</v>
      </c>
      <c r="L56" s="285">
        <v>7853830</v>
      </c>
      <c r="M56" s="432">
        <v>6462339</v>
      </c>
      <c r="N56" s="432">
        <v>11072032</v>
      </c>
      <c r="O56" s="286">
        <f t="shared" si="8"/>
        <v>120494050</v>
      </c>
    </row>
    <row r="57" spans="1:15" ht="12.75">
      <c r="A57" s="277" t="s">
        <v>193</v>
      </c>
      <c r="C57" s="285">
        <v>-13927899</v>
      </c>
      <c r="D57" s="285">
        <v>-16406319</v>
      </c>
      <c r="E57" s="285">
        <v>-17786304</v>
      </c>
      <c r="F57" s="285">
        <v>-14464387</v>
      </c>
      <c r="G57" s="285">
        <v>-18584898</v>
      </c>
      <c r="H57" s="285">
        <v>-18608147</v>
      </c>
      <c r="I57" s="285">
        <v>-10700190</v>
      </c>
      <c r="J57" s="285">
        <v>-12377628</v>
      </c>
      <c r="K57" s="285">
        <v>-12756225</v>
      </c>
      <c r="L57" s="285">
        <v>-18824393</v>
      </c>
      <c r="M57" s="476">
        <v>-22362672</v>
      </c>
      <c r="N57" s="476">
        <v>-17657639</v>
      </c>
      <c r="O57" s="286">
        <f t="shared" si="8"/>
        <v>-194456701</v>
      </c>
    </row>
    <row r="58" spans="1:15" ht="12.75">
      <c r="A58" s="277" t="s">
        <v>194</v>
      </c>
      <c r="C58" s="285">
        <v>-645328</v>
      </c>
      <c r="D58" s="285">
        <v>-417472</v>
      </c>
      <c r="E58" s="285">
        <v>-265562</v>
      </c>
      <c r="F58" s="285">
        <v>-3785594</v>
      </c>
      <c r="G58" s="285">
        <v>-3244927</v>
      </c>
      <c r="H58" s="285">
        <v>-47184</v>
      </c>
      <c r="I58" s="285">
        <v>-27304</v>
      </c>
      <c r="J58" s="285">
        <v>-93038</v>
      </c>
      <c r="K58" s="285">
        <v>-283774</v>
      </c>
      <c r="L58" s="285">
        <v>-1224436</v>
      </c>
      <c r="M58" s="476">
        <v>-4059518</v>
      </c>
      <c r="N58" s="476">
        <v>-2118054</v>
      </c>
      <c r="O58" s="286">
        <f t="shared" si="8"/>
        <v>-16212191</v>
      </c>
    </row>
    <row r="59" spans="1:15" ht="12.75">
      <c r="A59" s="277" t="s">
        <v>267</v>
      </c>
      <c r="C59" s="285">
        <f>SUM(C56:C57)</f>
        <v>-2295921</v>
      </c>
      <c r="D59" s="285">
        <f aca="true" t="shared" si="9" ref="D59:N59">SUM(D56:D57)</f>
        <v>-5944258</v>
      </c>
      <c r="E59" s="285">
        <f t="shared" si="9"/>
        <v>-6105274</v>
      </c>
      <c r="F59" s="285">
        <f t="shared" si="9"/>
        <v>-4132402</v>
      </c>
      <c r="G59" s="285">
        <f t="shared" si="9"/>
        <v>-10510644</v>
      </c>
      <c r="H59" s="285">
        <f t="shared" si="9"/>
        <v>-12986379</v>
      </c>
      <c r="I59" s="285">
        <f t="shared" si="9"/>
        <v>5445955</v>
      </c>
      <c r="J59" s="285">
        <f t="shared" si="9"/>
        <v>-306452</v>
      </c>
      <c r="K59" s="285">
        <f t="shared" si="9"/>
        <v>-3670773</v>
      </c>
      <c r="L59" s="285">
        <f t="shared" si="9"/>
        <v>-10970563</v>
      </c>
      <c r="M59" s="285">
        <f t="shared" si="9"/>
        <v>-15900333</v>
      </c>
      <c r="N59" s="285">
        <f t="shared" si="9"/>
        <v>-6585607</v>
      </c>
      <c r="O59" s="286">
        <f t="shared" si="8"/>
        <v>-73962651</v>
      </c>
    </row>
    <row r="60" spans="3:15" ht="12.75"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</row>
    <row r="61" spans="1:2" ht="15.75">
      <c r="A61" s="291" t="s">
        <v>198</v>
      </c>
      <c r="B61" s="291"/>
    </row>
    <row r="62" spans="1:2" ht="12.75">
      <c r="A62" s="278" t="s">
        <v>43</v>
      </c>
      <c r="B62" s="278"/>
    </row>
    <row r="63" spans="1:20" ht="12.75">
      <c r="A63" s="284" t="s">
        <v>135</v>
      </c>
      <c r="B63" s="284"/>
      <c r="C63" s="293">
        <v>23766353.983205043</v>
      </c>
      <c r="D63" s="293">
        <v>22030767.67570599</v>
      </c>
      <c r="E63" s="293">
        <v>20058261.92342</v>
      </c>
      <c r="F63" s="293">
        <v>15674030.547735274</v>
      </c>
      <c r="G63" s="293">
        <v>14475841.958209917</v>
      </c>
      <c r="H63" s="293">
        <v>11889673.349272337</v>
      </c>
      <c r="I63" s="293">
        <v>12733720.274420395</v>
      </c>
      <c r="J63" s="293">
        <v>12565563.233427972</v>
      </c>
      <c r="K63" s="293">
        <v>12161802.184743866</v>
      </c>
      <c r="L63" s="293">
        <v>13994567.379763959</v>
      </c>
      <c r="M63" s="433">
        <v>17298106.567865044</v>
      </c>
      <c r="N63" s="433">
        <v>19888454.840492815</v>
      </c>
      <c r="O63" s="289">
        <f aca="true" t="shared" si="10" ref="O63:O82">SUM(C63:N63)</f>
        <v>196537143.9182626</v>
      </c>
      <c r="Q63" s="300"/>
      <c r="R63" s="300"/>
      <c r="S63" s="289"/>
      <c r="T63" s="289"/>
    </row>
    <row r="64" spans="1:20" ht="12.75">
      <c r="A64" s="277" t="s">
        <v>52</v>
      </c>
      <c r="C64" s="293">
        <v>1130826.4652235527</v>
      </c>
      <c r="D64" s="293">
        <v>890241.9507591284</v>
      </c>
      <c r="E64" s="293">
        <v>928235.61675</v>
      </c>
      <c r="F64" s="293">
        <v>836219.3566086813</v>
      </c>
      <c r="G64" s="293">
        <v>1108828.8266759706</v>
      </c>
      <c r="H64" s="293">
        <v>912497.5496434881</v>
      </c>
      <c r="I64" s="293">
        <v>936688.431988216</v>
      </c>
      <c r="J64" s="293">
        <v>917776.1047233752</v>
      </c>
      <c r="K64" s="293">
        <v>790465.2683149033</v>
      </c>
      <c r="L64" s="293">
        <v>878307.4080037983</v>
      </c>
      <c r="M64" s="433">
        <v>949046.3471289743</v>
      </c>
      <c r="N64" s="433">
        <v>1038641.843078347</v>
      </c>
      <c r="O64" s="289">
        <f t="shared" si="10"/>
        <v>11317775.168898435</v>
      </c>
      <c r="Q64" s="300"/>
      <c r="R64" s="300"/>
      <c r="S64" s="289"/>
      <c r="T64" s="289"/>
    </row>
    <row r="65" spans="1:20" ht="12.75">
      <c r="A65" s="277" t="s">
        <v>53</v>
      </c>
      <c r="C65" s="293">
        <v>11906804.762510724</v>
      </c>
      <c r="D65" s="293">
        <v>10664240.586791832</v>
      </c>
      <c r="E65" s="293">
        <v>11034528.5596</v>
      </c>
      <c r="F65" s="293">
        <v>9630936.193374123</v>
      </c>
      <c r="G65" s="293">
        <v>8844116.703996425</v>
      </c>
      <c r="H65" s="293">
        <v>9222896.972251276</v>
      </c>
      <c r="I65" s="293">
        <v>10075612.271370366</v>
      </c>
      <c r="J65" s="293">
        <v>9769067.39441672</v>
      </c>
      <c r="K65" s="293">
        <v>8793802.251695178</v>
      </c>
      <c r="L65" s="293">
        <v>9433903.55467039</v>
      </c>
      <c r="M65" s="433">
        <v>9667979.75213623</v>
      </c>
      <c r="N65" s="433">
        <v>10526516.653363205</v>
      </c>
      <c r="O65" s="289">
        <f t="shared" si="10"/>
        <v>119570405.65617648</v>
      </c>
      <c r="Q65" s="300"/>
      <c r="R65" s="300"/>
      <c r="S65" s="289"/>
      <c r="T65" s="289"/>
    </row>
    <row r="66" spans="1:20" ht="12.75">
      <c r="A66" s="277" t="s">
        <v>54</v>
      </c>
      <c r="C66" s="293">
        <v>1578837.8727</v>
      </c>
      <c r="D66" s="293">
        <v>1449205.8408000001</v>
      </c>
      <c r="E66" s="293">
        <v>1563698.21746</v>
      </c>
      <c r="F66" s="293">
        <v>1432294.8608</v>
      </c>
      <c r="G66" s="293">
        <v>1445182.94622</v>
      </c>
      <c r="H66" s="293">
        <v>1513663.5358399998</v>
      </c>
      <c r="I66" s="293">
        <v>1741509.7652400003</v>
      </c>
      <c r="J66" s="293">
        <v>1718198.4924399997</v>
      </c>
      <c r="K66" s="293">
        <v>1597181.91324</v>
      </c>
      <c r="L66" s="293">
        <v>1520975.9506800002</v>
      </c>
      <c r="M66" s="433">
        <v>1502785.26908</v>
      </c>
      <c r="N66" s="433">
        <v>1503685.47758</v>
      </c>
      <c r="O66" s="289">
        <f t="shared" si="10"/>
        <v>18567220.14208</v>
      </c>
      <c r="Q66" s="300"/>
      <c r="R66" s="300"/>
      <c r="S66" s="289"/>
      <c r="T66" s="289"/>
    </row>
    <row r="67" spans="1:20" ht="12.75">
      <c r="A67" s="277" t="s">
        <v>55</v>
      </c>
      <c r="C67" s="293">
        <v>1168375.6352518252</v>
      </c>
      <c r="D67" s="293">
        <v>894858.6688768084</v>
      </c>
      <c r="E67" s="293">
        <v>1048581.3623119998</v>
      </c>
      <c r="F67" s="293">
        <v>893921.3601679141</v>
      </c>
      <c r="G67" s="293">
        <v>1050699.2100350633</v>
      </c>
      <c r="H67" s="293">
        <v>946566.3971206648</v>
      </c>
      <c r="I67" s="293">
        <v>1093349.4006661125</v>
      </c>
      <c r="J67" s="293">
        <v>924023.3898941586</v>
      </c>
      <c r="K67" s="293">
        <v>967309.6220395972</v>
      </c>
      <c r="L67" s="293">
        <v>793099.9106067172</v>
      </c>
      <c r="M67" s="433">
        <v>972747.2862246577</v>
      </c>
      <c r="N67" s="433">
        <v>1019641.7890599417</v>
      </c>
      <c r="O67" s="289">
        <f t="shared" si="10"/>
        <v>11773174.03225546</v>
      </c>
      <c r="Q67" s="300"/>
      <c r="R67" s="300"/>
      <c r="S67" s="289"/>
      <c r="T67" s="289"/>
    </row>
    <row r="68" spans="1:20" ht="12.75">
      <c r="A68" s="277" t="s">
        <v>56</v>
      </c>
      <c r="C68" s="293">
        <v>1716488.8268298544</v>
      </c>
      <c r="D68" s="293">
        <v>1672131.2897202487</v>
      </c>
      <c r="E68" s="293">
        <v>1821889.932777</v>
      </c>
      <c r="F68" s="293">
        <v>1753900.228714235</v>
      </c>
      <c r="G68" s="293">
        <v>1894620.8802711295</v>
      </c>
      <c r="H68" s="293">
        <v>1881785.8873315915</v>
      </c>
      <c r="I68" s="293">
        <v>2072829.9966290763</v>
      </c>
      <c r="J68" s="293">
        <v>1958224.9908013237</v>
      </c>
      <c r="K68" s="293">
        <v>1901587.8231952437</v>
      </c>
      <c r="L68" s="293">
        <v>1812855.877811627</v>
      </c>
      <c r="M68" s="433">
        <v>1905776.6071543454</v>
      </c>
      <c r="N68" s="433">
        <v>1980629.901841285</v>
      </c>
      <c r="O68" s="289">
        <f t="shared" si="10"/>
        <v>22372722.24307696</v>
      </c>
      <c r="Q68" s="300"/>
      <c r="R68" s="300"/>
      <c r="S68" s="289"/>
      <c r="T68" s="289"/>
    </row>
    <row r="69" spans="1:20" ht="12.75">
      <c r="A69" s="277" t="s">
        <v>57</v>
      </c>
      <c r="C69" s="293">
        <v>3253893.4181999997</v>
      </c>
      <c r="D69" s="293">
        <v>2935991.419718</v>
      </c>
      <c r="E69" s="293">
        <v>3327972.62999</v>
      </c>
      <c r="F69" s="293">
        <v>3289799.1204999997</v>
      </c>
      <c r="G69" s="293">
        <v>3428350.3306</v>
      </c>
      <c r="H69" s="293">
        <v>3176763.2581</v>
      </c>
      <c r="I69" s="293">
        <v>3395970.135517</v>
      </c>
      <c r="J69" s="293">
        <v>3781211.1448169993</v>
      </c>
      <c r="K69" s="293">
        <v>3506550.142724</v>
      </c>
      <c r="L69" s="293">
        <v>3573574.4123369996</v>
      </c>
      <c r="M69" s="434">
        <v>3394831.19007</v>
      </c>
      <c r="N69" s="417">
        <v>3161673.359217</v>
      </c>
      <c r="O69" s="289">
        <f t="shared" si="10"/>
        <v>40226580.561790004</v>
      </c>
      <c r="Q69" s="300"/>
      <c r="R69" s="300"/>
      <c r="S69" s="289"/>
      <c r="T69" s="289"/>
    </row>
    <row r="70" spans="1:20" ht="12.75">
      <c r="A70" s="277" t="s">
        <v>61</v>
      </c>
      <c r="C70" s="293">
        <v>6656242.31168</v>
      </c>
      <c r="D70" s="293">
        <v>6018626.631680001</v>
      </c>
      <c r="E70" s="293">
        <v>6482058.62304</v>
      </c>
      <c r="F70" s="293">
        <v>5878421.9228799995</v>
      </c>
      <c r="G70" s="293">
        <v>6180554.3384</v>
      </c>
      <c r="H70" s="293">
        <v>6464340.77952</v>
      </c>
      <c r="I70" s="293">
        <v>6680666.6201599995</v>
      </c>
      <c r="J70" s="293">
        <v>6678068.81248</v>
      </c>
      <c r="K70" s="293">
        <v>6454990.742719999</v>
      </c>
      <c r="L70" s="293">
        <v>6573248.88896</v>
      </c>
      <c r="M70" s="433">
        <v>5763873.20288</v>
      </c>
      <c r="N70" s="433">
        <v>6483625.35392</v>
      </c>
      <c r="O70" s="289">
        <f t="shared" si="10"/>
        <v>76314718.22831999</v>
      </c>
      <c r="Q70" s="300"/>
      <c r="R70" s="300"/>
      <c r="S70" s="289"/>
      <c r="T70" s="289"/>
    </row>
    <row r="71" spans="1:20" ht="12.75">
      <c r="A71" s="277" t="s">
        <v>58</v>
      </c>
      <c r="C71" s="293">
        <v>934196.14659</v>
      </c>
      <c r="D71" s="293">
        <v>849151.87493</v>
      </c>
      <c r="E71" s="293">
        <v>827157.6033900001</v>
      </c>
      <c r="F71" s="293">
        <v>595572.8467000001</v>
      </c>
      <c r="G71" s="293">
        <v>622461.49049</v>
      </c>
      <c r="H71" s="293">
        <v>587769.7229200001</v>
      </c>
      <c r="I71" s="293">
        <v>650300.41995</v>
      </c>
      <c r="J71" s="293">
        <v>640409.4638400001</v>
      </c>
      <c r="K71" s="293">
        <v>625109.3582000001</v>
      </c>
      <c r="L71" s="293">
        <v>675668.39158</v>
      </c>
      <c r="M71" s="433">
        <v>775979.16138</v>
      </c>
      <c r="N71" s="433">
        <v>872443.12711</v>
      </c>
      <c r="O71" s="289">
        <f t="shared" si="10"/>
        <v>8656219.607080001</v>
      </c>
      <c r="Q71" s="300"/>
      <c r="R71" s="300"/>
      <c r="S71" s="289"/>
      <c r="T71" s="289"/>
    </row>
    <row r="72" spans="1:20" ht="12.75">
      <c r="A72" s="277" t="s">
        <v>59</v>
      </c>
      <c r="C72" s="293">
        <v>419096.13759708893</v>
      </c>
      <c r="D72" s="293">
        <v>401636.1184860768</v>
      </c>
      <c r="E72" s="293">
        <v>449022.80958</v>
      </c>
      <c r="F72" s="293">
        <v>398923.93793739355</v>
      </c>
      <c r="G72" s="293">
        <v>458969.64972131175</v>
      </c>
      <c r="H72" s="293">
        <v>424199.2372437028</v>
      </c>
      <c r="I72" s="293">
        <v>458813.80810887256</v>
      </c>
      <c r="J72" s="293">
        <v>461731.32794108224</v>
      </c>
      <c r="K72" s="293">
        <v>468032.4667807319</v>
      </c>
      <c r="L72" s="293">
        <v>449386.81521744153</v>
      </c>
      <c r="M72" s="433">
        <v>497679.11898256745</v>
      </c>
      <c r="N72" s="433">
        <v>478490.94000277325</v>
      </c>
      <c r="O72" s="299">
        <f t="shared" si="10"/>
        <v>5365982.367599043</v>
      </c>
      <c r="Q72" s="300"/>
      <c r="R72" s="300"/>
      <c r="S72" s="289"/>
      <c r="T72" s="289"/>
    </row>
    <row r="73" spans="1:17" ht="12.75">
      <c r="A73" s="277" t="s">
        <v>161</v>
      </c>
      <c r="C73" s="289">
        <f>SUM(C63:C72)</f>
        <v>52531115.55978809</v>
      </c>
      <c r="D73" s="289">
        <f aca="true" t="shared" si="11" ref="D73:N73">SUM(D63:D72)</f>
        <v>47806852.057468094</v>
      </c>
      <c r="E73" s="289">
        <f t="shared" si="11"/>
        <v>47541407.278318994</v>
      </c>
      <c r="F73" s="289">
        <f t="shared" si="11"/>
        <v>40384020.37541762</v>
      </c>
      <c r="G73" s="289">
        <f t="shared" si="11"/>
        <v>39509626.33461981</v>
      </c>
      <c r="H73" s="289">
        <f t="shared" si="11"/>
        <v>37020156.68924306</v>
      </c>
      <c r="I73" s="289">
        <f t="shared" si="11"/>
        <v>39839461.12405004</v>
      </c>
      <c r="J73" s="289">
        <f t="shared" si="11"/>
        <v>39414274.35478163</v>
      </c>
      <c r="K73" s="289">
        <f t="shared" si="11"/>
        <v>37266831.77365352</v>
      </c>
      <c r="L73" s="289">
        <f t="shared" si="11"/>
        <v>39705588.589630924</v>
      </c>
      <c r="M73" s="289">
        <f t="shared" si="11"/>
        <v>42728804.50290182</v>
      </c>
      <c r="N73" s="289">
        <f t="shared" si="11"/>
        <v>46953803.28566537</v>
      </c>
      <c r="O73" s="289">
        <f>SUM(C73:N73)</f>
        <v>510701941.925539</v>
      </c>
      <c r="Q73" s="300"/>
    </row>
    <row r="74" ht="12.75">
      <c r="O74" s="289"/>
    </row>
    <row r="75" spans="1:15" ht="12.75">
      <c r="A75" s="484" t="s">
        <v>130</v>
      </c>
      <c r="B75" s="484"/>
      <c r="O75" s="289"/>
    </row>
    <row r="76" spans="1:15" ht="12.75">
      <c r="A76" s="485" t="s">
        <v>108</v>
      </c>
      <c r="B76" s="485"/>
      <c r="C76" s="293">
        <v>565212.06</v>
      </c>
      <c r="D76" s="293">
        <v>454926.78</v>
      </c>
      <c r="E76" s="293">
        <v>563680.32</v>
      </c>
      <c r="F76" s="293">
        <v>367617.6</v>
      </c>
      <c r="G76" s="293">
        <v>379871.52</v>
      </c>
      <c r="H76" s="293">
        <v>448221.55168000003</v>
      </c>
      <c r="I76" s="293">
        <v>565212.06</v>
      </c>
      <c r="J76" s="293">
        <v>565212.06</v>
      </c>
      <c r="K76" s="293">
        <v>528450.3</v>
      </c>
      <c r="L76" s="293">
        <v>565212.06</v>
      </c>
      <c r="M76" s="433">
        <v>529982.04</v>
      </c>
      <c r="N76" s="433">
        <v>565212.06</v>
      </c>
      <c r="O76" s="289">
        <f t="shared" si="10"/>
        <v>6098810.41168</v>
      </c>
    </row>
    <row r="77" spans="1:15" ht="12.75">
      <c r="A77" s="485" t="s">
        <v>67</v>
      </c>
      <c r="B77" s="485"/>
      <c r="O77" s="289"/>
    </row>
    <row r="78" spans="1:15" ht="12.75">
      <c r="A78" s="485" t="s">
        <v>163</v>
      </c>
      <c r="B78" s="485"/>
      <c r="O78" s="289"/>
    </row>
    <row r="79" spans="1:15" ht="12.75">
      <c r="A79" s="485" t="s">
        <v>151</v>
      </c>
      <c r="B79" s="485"/>
      <c r="C79" s="435"/>
      <c r="D79" s="435"/>
      <c r="E79" s="435">
        <v>171440.1727324998</v>
      </c>
      <c r="F79" s="435">
        <v>-171440.1727324998</v>
      </c>
      <c r="G79" s="435">
        <v>0</v>
      </c>
      <c r="H79" s="435">
        <v>0</v>
      </c>
      <c r="I79" s="435">
        <v>0</v>
      </c>
      <c r="J79" s="435">
        <v>0</v>
      </c>
      <c r="K79" s="435">
        <v>0</v>
      </c>
      <c r="L79" s="435">
        <v>0</v>
      </c>
      <c r="M79" s="435">
        <v>0</v>
      </c>
      <c r="N79" s="435">
        <v>0</v>
      </c>
      <c r="O79" s="299">
        <f t="shared" si="10"/>
        <v>0</v>
      </c>
    </row>
    <row r="80" spans="1:15" ht="12.75">
      <c r="A80" s="485" t="s">
        <v>161</v>
      </c>
      <c r="B80" s="485"/>
      <c r="C80" s="277">
        <f>SUM(C76:C79)</f>
        <v>565212.06</v>
      </c>
      <c r="D80" s="277">
        <f aca="true" t="shared" si="12" ref="D80:K80">SUM(D76:D79)</f>
        <v>454926.78</v>
      </c>
      <c r="E80" s="277">
        <f t="shared" si="12"/>
        <v>735120.4927324997</v>
      </c>
      <c r="F80" s="277">
        <f t="shared" si="12"/>
        <v>196177.42726750017</v>
      </c>
      <c r="G80" s="277">
        <f t="shared" si="12"/>
        <v>379871.52</v>
      </c>
      <c r="H80" s="277">
        <f t="shared" si="12"/>
        <v>448221.55168000003</v>
      </c>
      <c r="I80" s="277">
        <f t="shared" si="12"/>
        <v>565212.06</v>
      </c>
      <c r="J80" s="277">
        <f t="shared" si="12"/>
        <v>565212.06</v>
      </c>
      <c r="K80" s="277">
        <f t="shared" si="12"/>
        <v>528450.3</v>
      </c>
      <c r="L80" s="277">
        <f>SUM(L76:L79)</f>
        <v>565212.06</v>
      </c>
      <c r="M80" s="277">
        <f>SUM(M76:M79)</f>
        <v>529982.04</v>
      </c>
      <c r="N80" s="277">
        <f>SUM(N76:N79)</f>
        <v>565212.06</v>
      </c>
      <c r="O80" s="289">
        <f t="shared" si="10"/>
        <v>6098810.41168</v>
      </c>
    </row>
    <row r="81" spans="1:15" ht="12.75">
      <c r="A81" s="485"/>
      <c r="B81" s="485"/>
      <c r="C81" s="287"/>
      <c r="O81" s="289"/>
    </row>
    <row r="82" spans="1:15" ht="12.75">
      <c r="A82" s="277" t="s">
        <v>49</v>
      </c>
      <c r="C82" s="289">
        <f>C73+C80</f>
        <v>53096327.619788095</v>
      </c>
      <c r="D82" s="289">
        <f aca="true" t="shared" si="13" ref="D82:J82">D73+D80</f>
        <v>48261778.837468095</v>
      </c>
      <c r="E82" s="289">
        <f t="shared" si="13"/>
        <v>48276527.771051496</v>
      </c>
      <c r="F82" s="289">
        <f t="shared" si="13"/>
        <v>40580197.80268512</v>
      </c>
      <c r="G82" s="289">
        <f t="shared" si="13"/>
        <v>39889497.854619816</v>
      </c>
      <c r="H82" s="289">
        <f t="shared" si="13"/>
        <v>37468378.24092306</v>
      </c>
      <c r="I82" s="289">
        <f t="shared" si="13"/>
        <v>40404673.184050046</v>
      </c>
      <c r="J82" s="289">
        <f t="shared" si="13"/>
        <v>39979486.41478163</v>
      </c>
      <c r="K82" s="289">
        <f>K73+K80</f>
        <v>37795282.07365352</v>
      </c>
      <c r="L82" s="289">
        <f>L73+L80</f>
        <v>40270800.64963093</v>
      </c>
      <c r="M82" s="288">
        <f>M73+M80</f>
        <v>43258786.54290182</v>
      </c>
      <c r="N82" s="289">
        <f>N73+N80</f>
        <v>47519015.34566537</v>
      </c>
      <c r="O82" s="289">
        <f t="shared" si="10"/>
        <v>516800752.33721894</v>
      </c>
    </row>
    <row r="83" ht="12.75">
      <c r="O83" s="289"/>
    </row>
    <row r="84" spans="1:2" ht="12.75">
      <c r="A84" s="278" t="s">
        <v>228</v>
      </c>
      <c r="B84" s="278"/>
    </row>
    <row r="85" spans="1:2" ht="12.75">
      <c r="A85" s="278"/>
      <c r="B85" s="278"/>
    </row>
    <row r="86" ht="12.75">
      <c r="A86" s="278" t="s">
        <v>43</v>
      </c>
    </row>
    <row r="87" spans="1:15" ht="12.75">
      <c r="A87" s="284" t="s">
        <v>133</v>
      </c>
      <c r="B87" s="292">
        <v>4.739</v>
      </c>
      <c r="C87" s="295">
        <f aca="true" t="shared" si="14" ref="C87:N87">C20*$B87/100</f>
        <v>22635857.0508577</v>
      </c>
      <c r="D87" s="295">
        <f t="shared" si="14"/>
        <v>20967726.827517796</v>
      </c>
      <c r="E87" s="295">
        <f t="shared" si="14"/>
        <v>19121621.4154</v>
      </c>
      <c r="F87" s="295">
        <f t="shared" si="14"/>
        <v>14944304.603667906</v>
      </c>
      <c r="G87" s="295">
        <f t="shared" si="14"/>
        <v>13979009.036656246</v>
      </c>
      <c r="H87" s="295">
        <f t="shared" si="14"/>
        <v>11555029.652176276</v>
      </c>
      <c r="I87" s="295">
        <f t="shared" si="14"/>
        <v>12433457.781833135</v>
      </c>
      <c r="J87" s="295">
        <f t="shared" si="14"/>
        <v>12249359.6054202</v>
      </c>
      <c r="K87" s="295">
        <f t="shared" si="14"/>
        <v>11828797.877995277</v>
      </c>
      <c r="L87" s="295">
        <f t="shared" si="14"/>
        <v>13523172.590282885</v>
      </c>
      <c r="M87" s="295">
        <f t="shared" si="14"/>
        <v>16477884.877198728</v>
      </c>
      <c r="N87" s="295">
        <f t="shared" si="14"/>
        <v>18711619.81668</v>
      </c>
      <c r="O87" s="295">
        <f>SUM(B87:N87)</f>
        <v>188427845.87468612</v>
      </c>
    </row>
    <row r="88" spans="1:15" ht="12.75">
      <c r="A88" s="284" t="s">
        <v>134</v>
      </c>
      <c r="B88" s="292">
        <v>4.739</v>
      </c>
      <c r="C88" s="295">
        <f aca="true" t="shared" si="15" ref="C88:N88">C21*$B88/100</f>
        <v>1130496.932347343</v>
      </c>
      <c r="D88" s="295">
        <f t="shared" si="15"/>
        <v>1063040.848188194</v>
      </c>
      <c r="E88" s="295">
        <f t="shared" si="15"/>
        <v>936640.5080200001</v>
      </c>
      <c r="F88" s="295">
        <f t="shared" si="15"/>
        <v>729725.9440673657</v>
      </c>
      <c r="G88" s="295">
        <f t="shared" si="15"/>
        <v>496832.9215536695</v>
      </c>
      <c r="H88" s="295">
        <f t="shared" si="15"/>
        <v>334643.6970960631</v>
      </c>
      <c r="I88" s="295">
        <f t="shared" si="15"/>
        <v>300262.49258726166</v>
      </c>
      <c r="J88" s="295">
        <f t="shared" si="15"/>
        <v>316203.62800776964</v>
      </c>
      <c r="K88" s="295">
        <f t="shared" si="15"/>
        <v>333004.30674858956</v>
      </c>
      <c r="L88" s="295">
        <f t="shared" si="15"/>
        <v>471394.7894810718</v>
      </c>
      <c r="M88" s="295">
        <f t="shared" si="15"/>
        <v>820221.6906663154</v>
      </c>
      <c r="N88" s="295">
        <f t="shared" si="15"/>
        <v>1176835.01698</v>
      </c>
      <c r="O88" s="295">
        <f aca="true" t="shared" si="16" ref="O88:O107">SUM(B88:N88)</f>
        <v>8109307.514743643</v>
      </c>
    </row>
    <row r="89" spans="1:15" ht="12.75">
      <c r="A89" s="284" t="s">
        <v>135</v>
      </c>
      <c r="B89" s="292"/>
      <c r="C89" s="295">
        <f>SUM(C87:C88)</f>
        <v>23766353.983205043</v>
      </c>
      <c r="D89" s="295">
        <f aca="true" t="shared" si="17" ref="D89:N89">SUM(D87:D88)</f>
        <v>22030767.67570599</v>
      </c>
      <c r="E89" s="295">
        <f t="shared" si="17"/>
        <v>20058261.923419997</v>
      </c>
      <c r="F89" s="295">
        <f t="shared" si="17"/>
        <v>15674030.547735272</v>
      </c>
      <c r="G89" s="295">
        <f t="shared" si="17"/>
        <v>14475841.958209915</v>
      </c>
      <c r="H89" s="295">
        <f t="shared" si="17"/>
        <v>11889673.349272339</v>
      </c>
      <c r="I89" s="295">
        <f t="shared" si="17"/>
        <v>12733720.274420395</v>
      </c>
      <c r="J89" s="295">
        <f t="shared" si="17"/>
        <v>12565563.23342797</v>
      </c>
      <c r="K89" s="295">
        <f t="shared" si="17"/>
        <v>12161802.184743866</v>
      </c>
      <c r="L89" s="295">
        <f t="shared" si="17"/>
        <v>13994567.379763957</v>
      </c>
      <c r="M89" s="295">
        <f t="shared" si="17"/>
        <v>17298106.567865044</v>
      </c>
      <c r="N89" s="295">
        <f t="shared" si="17"/>
        <v>19888454.83366</v>
      </c>
      <c r="O89" s="295">
        <f t="shared" si="16"/>
        <v>196537143.9114298</v>
      </c>
    </row>
    <row r="90" spans="1:15" ht="12.75">
      <c r="A90" s="277" t="s">
        <v>52</v>
      </c>
      <c r="B90" s="294">
        <v>4.875</v>
      </c>
      <c r="C90" s="295">
        <f aca="true" t="shared" si="18" ref="C90:N90">C23*$B90/100</f>
        <v>1130826.4652235527</v>
      </c>
      <c r="D90" s="295">
        <f t="shared" si="18"/>
        <v>890241.9507591284</v>
      </c>
      <c r="E90" s="295">
        <f t="shared" si="18"/>
        <v>928235.6167500002</v>
      </c>
      <c r="F90" s="295">
        <f t="shared" si="18"/>
        <v>836219.3566086813</v>
      </c>
      <c r="G90" s="295">
        <f t="shared" si="18"/>
        <v>1108828.8266759706</v>
      </c>
      <c r="H90" s="295">
        <f t="shared" si="18"/>
        <v>912497.5496434883</v>
      </c>
      <c r="I90" s="295">
        <f t="shared" si="18"/>
        <v>936688.431988216</v>
      </c>
      <c r="J90" s="295">
        <f t="shared" si="18"/>
        <v>917776.1047233752</v>
      </c>
      <c r="K90" s="295">
        <f t="shared" si="18"/>
        <v>790465.2683149033</v>
      </c>
      <c r="L90" s="295">
        <f t="shared" si="18"/>
        <v>878307.4080037982</v>
      </c>
      <c r="M90" s="295">
        <f t="shared" si="18"/>
        <v>949046.3471289744</v>
      </c>
      <c r="N90" s="295">
        <f t="shared" si="18"/>
        <v>1038641.8575</v>
      </c>
      <c r="O90" s="295">
        <f t="shared" si="16"/>
        <v>11317780.058320088</v>
      </c>
    </row>
    <row r="91" spans="1:15" ht="12.75">
      <c r="A91" s="277" t="s">
        <v>53</v>
      </c>
      <c r="B91" s="294">
        <v>4.9</v>
      </c>
      <c r="C91" s="295">
        <f aca="true" t="shared" si="19" ref="C91:N91">C24*$B91/100</f>
        <v>11906804.762510724</v>
      </c>
      <c r="D91" s="295">
        <f t="shared" si="19"/>
        <v>10664240.586791832</v>
      </c>
      <c r="E91" s="295">
        <f t="shared" si="19"/>
        <v>11034528.559600001</v>
      </c>
      <c r="F91" s="295">
        <f t="shared" si="19"/>
        <v>9630936.193374125</v>
      </c>
      <c r="G91" s="295">
        <f t="shared" si="19"/>
        <v>8844116.703996425</v>
      </c>
      <c r="H91" s="295">
        <f t="shared" si="19"/>
        <v>9222896.972251276</v>
      </c>
      <c r="I91" s="295">
        <f t="shared" si="19"/>
        <v>10075612.271370366</v>
      </c>
      <c r="J91" s="295">
        <f t="shared" si="19"/>
        <v>9769067.39441672</v>
      </c>
      <c r="K91" s="295">
        <f t="shared" si="19"/>
        <v>8793802.251695178</v>
      </c>
      <c r="L91" s="295">
        <f t="shared" si="19"/>
        <v>9433903.554670392</v>
      </c>
      <c r="M91" s="295">
        <f t="shared" si="19"/>
        <v>9667979.75213623</v>
      </c>
      <c r="N91" s="295">
        <f t="shared" si="19"/>
        <v>10526516.63</v>
      </c>
      <c r="O91" s="295">
        <f t="shared" si="16"/>
        <v>119570410.53281328</v>
      </c>
    </row>
    <row r="92" spans="1:15" ht="12.75">
      <c r="A92" s="277" t="s">
        <v>54</v>
      </c>
      <c r="B92" s="294">
        <v>4.462</v>
      </c>
      <c r="C92" s="295">
        <f aca="true" t="shared" si="20" ref="C92:N92">C25*$B92/100</f>
        <v>1578837.8726999997</v>
      </c>
      <c r="D92" s="295">
        <f t="shared" si="20"/>
        <v>1449205.8408</v>
      </c>
      <c r="E92" s="295">
        <f t="shared" si="20"/>
        <v>1563698.21746</v>
      </c>
      <c r="F92" s="295">
        <f t="shared" si="20"/>
        <v>1432294.8608</v>
      </c>
      <c r="G92" s="295">
        <f t="shared" si="20"/>
        <v>1445182.9462199998</v>
      </c>
      <c r="H92" s="295">
        <f t="shared" si="20"/>
        <v>1513663.53584</v>
      </c>
      <c r="I92" s="295">
        <f t="shared" si="20"/>
        <v>1741509.7652399999</v>
      </c>
      <c r="J92" s="295">
        <f t="shared" si="20"/>
        <v>1718198.49244</v>
      </c>
      <c r="K92" s="295">
        <f t="shared" si="20"/>
        <v>1597181.91324</v>
      </c>
      <c r="L92" s="295">
        <f t="shared" si="20"/>
        <v>1520975.9506799998</v>
      </c>
      <c r="M92" s="295">
        <f t="shared" si="20"/>
        <v>1502785.26908</v>
      </c>
      <c r="N92" s="295">
        <f t="shared" si="20"/>
        <v>1503685.47758</v>
      </c>
      <c r="O92" s="295">
        <f t="shared" si="16"/>
        <v>18567224.604080003</v>
      </c>
    </row>
    <row r="93" spans="1:15" ht="12.75">
      <c r="A93" s="277" t="s">
        <v>55</v>
      </c>
      <c r="B93" s="294">
        <v>4.631</v>
      </c>
      <c r="C93" s="295">
        <f aca="true" t="shared" si="21" ref="C93:N93">C26*$B93/100</f>
        <v>1168375.6352518252</v>
      </c>
      <c r="D93" s="295">
        <f t="shared" si="21"/>
        <v>894858.6688768085</v>
      </c>
      <c r="E93" s="295">
        <f t="shared" si="21"/>
        <v>1048581.362312</v>
      </c>
      <c r="F93" s="295">
        <f t="shared" si="21"/>
        <v>893921.3601679142</v>
      </c>
      <c r="G93" s="295">
        <f t="shared" si="21"/>
        <v>1050699.2100350636</v>
      </c>
      <c r="H93" s="295">
        <f t="shared" si="21"/>
        <v>946566.3971206651</v>
      </c>
      <c r="I93" s="295">
        <f t="shared" si="21"/>
        <v>1093349.4006661128</v>
      </c>
      <c r="J93" s="295">
        <f t="shared" si="21"/>
        <v>924023.3898941587</v>
      </c>
      <c r="K93" s="295">
        <f t="shared" si="21"/>
        <v>967309.6220395974</v>
      </c>
      <c r="L93" s="295">
        <f t="shared" si="21"/>
        <v>793099.9106067172</v>
      </c>
      <c r="M93" s="295">
        <f t="shared" si="21"/>
        <v>972747.2862246563</v>
      </c>
      <c r="N93" s="295">
        <f t="shared" si="21"/>
        <v>1019641.77095</v>
      </c>
      <c r="O93" s="295">
        <f t="shared" si="16"/>
        <v>11773178.645145519</v>
      </c>
    </row>
    <row r="94" spans="1:15" ht="12.75">
      <c r="A94" s="277" t="s">
        <v>56</v>
      </c>
      <c r="B94" s="294">
        <v>4.559</v>
      </c>
      <c r="C94" s="295">
        <f aca="true" t="shared" si="22" ref="C94:N94">C27*$B94/100</f>
        <v>1716488.8268298546</v>
      </c>
      <c r="D94" s="295">
        <f t="shared" si="22"/>
        <v>1672131.289720249</v>
      </c>
      <c r="E94" s="295">
        <f t="shared" si="22"/>
        <v>1821889.9327770001</v>
      </c>
      <c r="F94" s="295">
        <f t="shared" si="22"/>
        <v>1753900.228714235</v>
      </c>
      <c r="G94" s="295">
        <f t="shared" si="22"/>
        <v>1894620.8802711295</v>
      </c>
      <c r="H94" s="295">
        <f t="shared" si="22"/>
        <v>1881785.8873315915</v>
      </c>
      <c r="I94" s="295">
        <f t="shared" si="22"/>
        <v>2072829.9966290765</v>
      </c>
      <c r="J94" s="295">
        <f t="shared" si="22"/>
        <v>1958224.9908013237</v>
      </c>
      <c r="K94" s="295">
        <f t="shared" si="22"/>
        <v>1901587.8231952437</v>
      </c>
      <c r="L94" s="295">
        <f t="shared" si="22"/>
        <v>1812855.877811627</v>
      </c>
      <c r="M94" s="295">
        <f t="shared" si="22"/>
        <v>1905776.6071543458</v>
      </c>
      <c r="N94" s="295">
        <f t="shared" si="22"/>
        <v>1980629.9224600003</v>
      </c>
      <c r="O94" s="295">
        <f t="shared" si="16"/>
        <v>22372726.822695676</v>
      </c>
    </row>
    <row r="95" spans="1:15" ht="12.75">
      <c r="A95" s="277" t="s">
        <v>57</v>
      </c>
      <c r="B95" s="294">
        <v>4.33</v>
      </c>
      <c r="C95" s="295">
        <f aca="true" t="shared" si="23" ref="C95:N95">C28*$B95/100</f>
        <v>3253893.4181999997</v>
      </c>
      <c r="D95" s="295">
        <f t="shared" si="23"/>
        <v>2935991.419718</v>
      </c>
      <c r="E95" s="295">
        <f t="shared" si="23"/>
        <v>3327972.6299900003</v>
      </c>
      <c r="F95" s="295">
        <f t="shared" si="23"/>
        <v>3289799.1205</v>
      </c>
      <c r="G95" s="295">
        <f t="shared" si="23"/>
        <v>3428350.3306</v>
      </c>
      <c r="H95" s="295">
        <f t="shared" si="23"/>
        <v>3176763.2581</v>
      </c>
      <c r="I95" s="295">
        <f t="shared" si="23"/>
        <v>3395970.1355170007</v>
      </c>
      <c r="J95" s="295">
        <f t="shared" si="23"/>
        <v>3781211.1448170007</v>
      </c>
      <c r="K95" s="295">
        <f t="shared" si="23"/>
        <v>3506550.1427240004</v>
      </c>
      <c r="L95" s="295">
        <f t="shared" si="23"/>
        <v>3573574.4123370005</v>
      </c>
      <c r="M95" s="295">
        <f t="shared" si="23"/>
        <v>3394831.1900700005</v>
      </c>
      <c r="N95" s="295">
        <f t="shared" si="23"/>
        <v>3161673.338</v>
      </c>
      <c r="O95" s="295">
        <f t="shared" si="16"/>
        <v>40226584.87057301</v>
      </c>
    </row>
    <row r="96" spans="1:15" ht="12.75">
      <c r="A96" s="277" t="s">
        <v>61</v>
      </c>
      <c r="B96" s="294">
        <v>3.952</v>
      </c>
      <c r="C96" s="295">
        <f aca="true" t="shared" si="24" ref="C96:N96">C29*$B96/100</f>
        <v>6656242.31168</v>
      </c>
      <c r="D96" s="295">
        <f t="shared" si="24"/>
        <v>6018626.63168</v>
      </c>
      <c r="E96" s="295">
        <f t="shared" si="24"/>
        <v>6482058.62304</v>
      </c>
      <c r="F96" s="295">
        <f t="shared" si="24"/>
        <v>5878421.9228799995</v>
      </c>
      <c r="G96" s="295">
        <f t="shared" si="24"/>
        <v>6180554.338400001</v>
      </c>
      <c r="H96" s="295">
        <f t="shared" si="24"/>
        <v>6464340.77952</v>
      </c>
      <c r="I96" s="295">
        <f t="shared" si="24"/>
        <v>6680666.62016</v>
      </c>
      <c r="J96" s="295">
        <f t="shared" si="24"/>
        <v>6678068.81248</v>
      </c>
      <c r="K96" s="295">
        <f t="shared" si="24"/>
        <v>6454990.7427199995</v>
      </c>
      <c r="L96" s="295">
        <f t="shared" si="24"/>
        <v>6573248.88896</v>
      </c>
      <c r="M96" s="295">
        <f t="shared" si="24"/>
        <v>5763873.20288</v>
      </c>
      <c r="N96" s="295">
        <f t="shared" si="24"/>
        <v>6483625.35392</v>
      </c>
      <c r="O96" s="295">
        <f t="shared" si="16"/>
        <v>76314722.18032</v>
      </c>
    </row>
    <row r="97" spans="1:15" ht="12.75">
      <c r="A97" s="277" t="s">
        <v>58</v>
      </c>
      <c r="B97" s="294">
        <v>4.481</v>
      </c>
      <c r="C97" s="295">
        <f aca="true" t="shared" si="25" ref="C97:N97">C30*$B97/100</f>
        <v>934196.1465899999</v>
      </c>
      <c r="D97" s="295">
        <f t="shared" si="25"/>
        <v>849151.87493</v>
      </c>
      <c r="E97" s="295">
        <f t="shared" si="25"/>
        <v>827157.6033900001</v>
      </c>
      <c r="F97" s="295">
        <f t="shared" si="25"/>
        <v>595572.8467</v>
      </c>
      <c r="G97" s="295">
        <f t="shared" si="25"/>
        <v>622461.49049</v>
      </c>
      <c r="H97" s="295">
        <f t="shared" si="25"/>
        <v>587769.72292</v>
      </c>
      <c r="I97" s="295">
        <f t="shared" si="25"/>
        <v>650300.41995</v>
      </c>
      <c r="J97" s="295">
        <f t="shared" si="25"/>
        <v>640409.46384</v>
      </c>
      <c r="K97" s="295">
        <f t="shared" si="25"/>
        <v>625109.3582</v>
      </c>
      <c r="L97" s="295">
        <f t="shared" si="25"/>
        <v>675668.3915799999</v>
      </c>
      <c r="M97" s="295">
        <f t="shared" si="25"/>
        <v>775979.16138</v>
      </c>
      <c r="N97" s="295">
        <f t="shared" si="25"/>
        <v>872443.12711</v>
      </c>
      <c r="O97" s="295">
        <f t="shared" si="16"/>
        <v>8656224.08808</v>
      </c>
    </row>
    <row r="98" spans="1:15" ht="12.75">
      <c r="A98" s="277" t="s">
        <v>59</v>
      </c>
      <c r="B98" s="294">
        <v>4.755</v>
      </c>
      <c r="C98" s="295">
        <f aca="true" t="shared" si="26" ref="C98:N98">C31*$B98/100</f>
        <v>419096.1375970889</v>
      </c>
      <c r="D98" s="295">
        <f t="shared" si="26"/>
        <v>401636.1184860768</v>
      </c>
      <c r="E98" s="295">
        <f t="shared" si="26"/>
        <v>449022.80957999994</v>
      </c>
      <c r="F98" s="295">
        <f t="shared" si="26"/>
        <v>398923.9379373935</v>
      </c>
      <c r="G98" s="295">
        <f t="shared" si="26"/>
        <v>458969.6497213117</v>
      </c>
      <c r="H98" s="295">
        <f t="shared" si="26"/>
        <v>424199.2372437028</v>
      </c>
      <c r="I98" s="295">
        <f t="shared" si="26"/>
        <v>458813.80810887256</v>
      </c>
      <c r="J98" s="295">
        <f t="shared" si="26"/>
        <v>461731.3279410822</v>
      </c>
      <c r="K98" s="295">
        <f t="shared" si="26"/>
        <v>468032.4667807319</v>
      </c>
      <c r="L98" s="295">
        <f t="shared" si="26"/>
        <v>449386.81521744153</v>
      </c>
      <c r="M98" s="295">
        <f t="shared" si="26"/>
        <v>497679.1189825684</v>
      </c>
      <c r="N98" s="295">
        <f t="shared" si="26"/>
        <v>478490.94255</v>
      </c>
      <c r="O98" s="295">
        <f t="shared" si="16"/>
        <v>5365987.12514627</v>
      </c>
    </row>
    <row r="99" spans="1:15" ht="12.75">
      <c r="A99" s="277" t="s">
        <v>161</v>
      </c>
      <c r="B99" s="294"/>
      <c r="C99" s="295">
        <f>SUM(C89:C98)</f>
        <v>52531115.55978809</v>
      </c>
      <c r="D99" s="295">
        <f aca="true" t="shared" si="27" ref="D99:O99">SUM(D89:D98)</f>
        <v>47806852.057468094</v>
      </c>
      <c r="E99" s="295">
        <f t="shared" si="27"/>
        <v>47541407.278319</v>
      </c>
      <c r="F99" s="295">
        <f t="shared" si="27"/>
        <v>40384020.37541762</v>
      </c>
      <c r="G99" s="295">
        <f t="shared" si="27"/>
        <v>39509626.33461981</v>
      </c>
      <c r="H99" s="295">
        <f t="shared" si="27"/>
        <v>37020156.68924306</v>
      </c>
      <c r="I99" s="295">
        <f t="shared" si="27"/>
        <v>39839461.12405004</v>
      </c>
      <c r="J99" s="295">
        <f t="shared" si="27"/>
        <v>39414274.35478163</v>
      </c>
      <c r="K99" s="295">
        <f t="shared" si="27"/>
        <v>37266831.77365352</v>
      </c>
      <c r="L99" s="295">
        <f>SUM(L89:L98)</f>
        <v>39705588.58963093</v>
      </c>
      <c r="M99" s="295">
        <f t="shared" si="27"/>
        <v>42728804.50290183</v>
      </c>
      <c r="N99" s="295">
        <f t="shared" si="27"/>
        <v>46953803.25373</v>
      </c>
      <c r="O99" s="295">
        <f t="shared" si="27"/>
        <v>510701982.83860356</v>
      </c>
    </row>
    <row r="100" spans="2:15" ht="12.75">
      <c r="B100" s="294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>
        <f t="shared" si="16"/>
        <v>0</v>
      </c>
    </row>
    <row r="101" spans="1:15" ht="12.75">
      <c r="A101" s="278" t="s">
        <v>130</v>
      </c>
      <c r="B101" s="294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>
        <f t="shared" si="16"/>
        <v>0</v>
      </c>
    </row>
    <row r="102" spans="1:15" ht="12.75">
      <c r="A102" s="277" t="s">
        <v>108</v>
      </c>
      <c r="B102" s="294">
        <v>3.647</v>
      </c>
      <c r="C102" s="295">
        <f aca="true" t="shared" si="28" ref="C102:N102">C35*$B102/100</f>
        <v>565212.06</v>
      </c>
      <c r="D102" s="295">
        <f t="shared" si="28"/>
        <v>454926.78</v>
      </c>
      <c r="E102" s="295">
        <f t="shared" si="28"/>
        <v>563680.32</v>
      </c>
      <c r="F102" s="295">
        <f t="shared" si="28"/>
        <v>367617.6</v>
      </c>
      <c r="G102" s="295">
        <f t="shared" si="28"/>
        <v>379871.52</v>
      </c>
      <c r="H102" s="295">
        <f t="shared" si="28"/>
        <v>448221.55168</v>
      </c>
      <c r="I102" s="295">
        <f t="shared" si="28"/>
        <v>565212.06</v>
      </c>
      <c r="J102" s="295">
        <f t="shared" si="28"/>
        <v>565212.06</v>
      </c>
      <c r="K102" s="295">
        <f t="shared" si="28"/>
        <v>528450.3</v>
      </c>
      <c r="L102" s="295">
        <f t="shared" si="28"/>
        <v>565212.06</v>
      </c>
      <c r="M102" s="295">
        <f t="shared" si="28"/>
        <v>529982.04</v>
      </c>
      <c r="N102" s="295">
        <f t="shared" si="28"/>
        <v>565212.06</v>
      </c>
      <c r="O102" s="295">
        <f t="shared" si="16"/>
        <v>6098814.05868</v>
      </c>
    </row>
    <row r="103" spans="1:15" ht="12.75">
      <c r="A103" s="277" t="s">
        <v>67</v>
      </c>
      <c r="B103" s="294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>
        <f t="shared" si="16"/>
        <v>0</v>
      </c>
    </row>
    <row r="104" spans="1:15" ht="12.75">
      <c r="A104" s="277" t="s">
        <v>163</v>
      </c>
      <c r="B104" s="294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>
        <f t="shared" si="16"/>
        <v>0</v>
      </c>
    </row>
    <row r="105" spans="1:15" ht="12.75">
      <c r="A105" s="277" t="s">
        <v>151</v>
      </c>
      <c r="B105" s="294">
        <v>3.647</v>
      </c>
      <c r="C105" s="295"/>
      <c r="D105" s="295"/>
      <c r="E105" s="295"/>
      <c r="F105" s="295"/>
      <c r="G105" s="295"/>
      <c r="H105" s="295"/>
      <c r="I105" s="295"/>
      <c r="J105" s="295"/>
      <c r="K105" s="295">
        <f>K40*$B105/100</f>
        <v>0</v>
      </c>
      <c r="L105" s="295">
        <f>L40*$B105/100</f>
        <v>0</v>
      </c>
      <c r="M105" s="295">
        <f>M40*$B105/100</f>
        <v>0</v>
      </c>
      <c r="N105" s="295">
        <f>N40*$B105/100</f>
        <v>0</v>
      </c>
      <c r="O105" s="295">
        <f t="shared" si="16"/>
        <v>3.647</v>
      </c>
    </row>
    <row r="106" spans="1:15" ht="12.75">
      <c r="A106" s="277" t="s">
        <v>161</v>
      </c>
      <c r="B106" s="294"/>
      <c r="C106" s="295">
        <f>SUM(C102:C105)</f>
        <v>565212.06</v>
      </c>
      <c r="D106" s="295">
        <f aca="true" t="shared" si="29" ref="D106:N106">SUM(D102:D105)</f>
        <v>454926.78</v>
      </c>
      <c r="E106" s="295">
        <f t="shared" si="29"/>
        <v>563680.32</v>
      </c>
      <c r="F106" s="295">
        <f t="shared" si="29"/>
        <v>367617.6</v>
      </c>
      <c r="G106" s="295">
        <f t="shared" si="29"/>
        <v>379871.52</v>
      </c>
      <c r="H106" s="295">
        <f t="shared" si="29"/>
        <v>448221.55168</v>
      </c>
      <c r="I106" s="295">
        <f t="shared" si="29"/>
        <v>565212.06</v>
      </c>
      <c r="J106" s="295">
        <f t="shared" si="29"/>
        <v>565212.06</v>
      </c>
      <c r="K106" s="295">
        <f t="shared" si="29"/>
        <v>528450.3</v>
      </c>
      <c r="L106" s="295">
        <f t="shared" si="29"/>
        <v>565212.06</v>
      </c>
      <c r="M106" s="295">
        <f t="shared" si="29"/>
        <v>529982.04</v>
      </c>
      <c r="N106" s="295">
        <f t="shared" si="29"/>
        <v>565212.06</v>
      </c>
      <c r="O106" s="295">
        <f t="shared" si="16"/>
        <v>6098810.41168</v>
      </c>
    </row>
    <row r="107" spans="2:15" ht="12.75">
      <c r="B107" s="294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>
        <f t="shared" si="16"/>
        <v>0</v>
      </c>
    </row>
    <row r="108" spans="1:15" ht="12.75">
      <c r="A108" s="277" t="s">
        <v>49</v>
      </c>
      <c r="B108" s="294"/>
      <c r="C108" s="295">
        <f>C106+C99</f>
        <v>53096327.619788095</v>
      </c>
      <c r="D108" s="295">
        <f aca="true" t="shared" si="30" ref="D108:O108">D106+D99</f>
        <v>48261778.837468095</v>
      </c>
      <c r="E108" s="295">
        <f t="shared" si="30"/>
        <v>48105087.598319</v>
      </c>
      <c r="F108" s="295">
        <f t="shared" si="30"/>
        <v>40751637.97541762</v>
      </c>
      <c r="G108" s="295">
        <f t="shared" si="30"/>
        <v>39889497.854619816</v>
      </c>
      <c r="H108" s="295">
        <f t="shared" si="30"/>
        <v>37468378.24092306</v>
      </c>
      <c r="I108" s="295">
        <f t="shared" si="30"/>
        <v>40404673.184050046</v>
      </c>
      <c r="J108" s="295">
        <f t="shared" si="30"/>
        <v>39979486.41478163</v>
      </c>
      <c r="K108" s="295">
        <f t="shared" si="30"/>
        <v>37795282.07365352</v>
      </c>
      <c r="L108" s="295">
        <f t="shared" si="30"/>
        <v>40270800.649630934</v>
      </c>
      <c r="M108" s="295">
        <f t="shared" si="30"/>
        <v>43258786.54290183</v>
      </c>
      <c r="N108" s="295">
        <f t="shared" si="30"/>
        <v>47519015.31373</v>
      </c>
      <c r="O108" s="295">
        <f t="shared" si="30"/>
        <v>516800793.25028354</v>
      </c>
    </row>
    <row r="109" spans="3:15" ht="12.75"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</row>
    <row r="110" spans="1:15" ht="12.75">
      <c r="A110" s="278" t="s">
        <v>157</v>
      </c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</row>
    <row r="111" spans="3:15" ht="12.75"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</row>
    <row r="112" spans="1:15" ht="12.75">
      <c r="A112" s="278" t="s">
        <v>43</v>
      </c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</row>
    <row r="113" spans="1:15" ht="12.75">
      <c r="A113" s="284" t="s">
        <v>135</v>
      </c>
      <c r="C113" s="295">
        <f aca="true" t="shared" si="31" ref="C113:O113">+C63-C89</f>
        <v>0</v>
      </c>
      <c r="D113" s="295">
        <f t="shared" si="31"/>
        <v>0</v>
      </c>
      <c r="E113" s="295">
        <f t="shared" si="31"/>
        <v>0</v>
      </c>
      <c r="F113" s="295">
        <f t="shared" si="31"/>
        <v>0</v>
      </c>
      <c r="G113" s="295">
        <f t="shared" si="31"/>
        <v>0</v>
      </c>
      <c r="H113" s="295">
        <f t="shared" si="31"/>
        <v>0</v>
      </c>
      <c r="I113" s="295">
        <f t="shared" si="31"/>
        <v>0</v>
      </c>
      <c r="J113" s="295">
        <f t="shared" si="31"/>
        <v>0</v>
      </c>
      <c r="K113" s="295">
        <f t="shared" si="31"/>
        <v>0</v>
      </c>
      <c r="L113" s="295">
        <f t="shared" si="31"/>
        <v>0</v>
      </c>
      <c r="M113" s="295">
        <f t="shared" si="31"/>
        <v>0</v>
      </c>
      <c r="N113" s="295">
        <f t="shared" si="31"/>
        <v>0.006832815706729889</v>
      </c>
      <c r="O113" s="295">
        <f t="shared" si="31"/>
        <v>0.006832808256149292</v>
      </c>
    </row>
    <row r="114" spans="1:15" ht="12.75">
      <c r="A114" s="277" t="s">
        <v>52</v>
      </c>
      <c r="C114" s="295">
        <f aca="true" t="shared" si="32" ref="C114:O114">+C64-C90</f>
        <v>0</v>
      </c>
      <c r="D114" s="295">
        <f t="shared" si="32"/>
        <v>0</v>
      </c>
      <c r="E114" s="295">
        <f t="shared" si="32"/>
        <v>0</v>
      </c>
      <c r="F114" s="295">
        <f t="shared" si="32"/>
        <v>0</v>
      </c>
      <c r="G114" s="295">
        <f t="shared" si="32"/>
        <v>0</v>
      </c>
      <c r="H114" s="295">
        <f t="shared" si="32"/>
        <v>0</v>
      </c>
      <c r="I114" s="295">
        <f t="shared" si="32"/>
        <v>0</v>
      </c>
      <c r="J114" s="295">
        <f t="shared" si="32"/>
        <v>0</v>
      </c>
      <c r="K114" s="295">
        <f t="shared" si="32"/>
        <v>0</v>
      </c>
      <c r="L114" s="295">
        <f t="shared" si="32"/>
        <v>0</v>
      </c>
      <c r="M114" s="295">
        <f t="shared" si="32"/>
        <v>0</v>
      </c>
      <c r="N114" s="474">
        <f t="shared" si="32"/>
        <v>-0.014421653002500534</v>
      </c>
      <c r="O114" s="474">
        <f t="shared" si="32"/>
        <v>-4.8894216530025005</v>
      </c>
    </row>
    <row r="115" spans="1:15" ht="12.75">
      <c r="A115" s="277" t="s">
        <v>53</v>
      </c>
      <c r="C115" s="295">
        <f aca="true" t="shared" si="33" ref="C115:O115">+C65-C91</f>
        <v>0</v>
      </c>
      <c r="D115" s="295">
        <f t="shared" si="33"/>
        <v>0</v>
      </c>
      <c r="E115" s="295">
        <f t="shared" si="33"/>
        <v>0</v>
      </c>
      <c r="F115" s="295">
        <f t="shared" si="33"/>
        <v>0</v>
      </c>
      <c r="G115" s="295">
        <f t="shared" si="33"/>
        <v>0</v>
      </c>
      <c r="H115" s="295">
        <f t="shared" si="33"/>
        <v>0</v>
      </c>
      <c r="I115" s="295">
        <f t="shared" si="33"/>
        <v>0</v>
      </c>
      <c r="J115" s="295">
        <f t="shared" si="33"/>
        <v>0</v>
      </c>
      <c r="K115" s="295">
        <f t="shared" si="33"/>
        <v>0</v>
      </c>
      <c r="L115" s="295">
        <f t="shared" si="33"/>
        <v>0</v>
      </c>
      <c r="M115" s="295">
        <f t="shared" si="33"/>
        <v>0</v>
      </c>
      <c r="N115" s="295">
        <f t="shared" si="33"/>
        <v>0.023363204672932625</v>
      </c>
      <c r="O115" s="474">
        <f t="shared" si="33"/>
        <v>-4.876636803150177</v>
      </c>
    </row>
    <row r="116" spans="1:15" ht="12.75">
      <c r="A116" s="277" t="s">
        <v>54</v>
      </c>
      <c r="C116" s="295">
        <f aca="true" t="shared" si="34" ref="C116:O116">+C66-C92</f>
        <v>0</v>
      </c>
      <c r="D116" s="295">
        <f t="shared" si="34"/>
        <v>0</v>
      </c>
      <c r="E116" s="295">
        <f t="shared" si="34"/>
        <v>0</v>
      </c>
      <c r="F116" s="295">
        <f t="shared" si="34"/>
        <v>0</v>
      </c>
      <c r="G116" s="295">
        <f t="shared" si="34"/>
        <v>0</v>
      </c>
      <c r="H116" s="295">
        <f t="shared" si="34"/>
        <v>0</v>
      </c>
      <c r="I116" s="295">
        <f t="shared" si="34"/>
        <v>0</v>
      </c>
      <c r="J116" s="295">
        <f t="shared" si="34"/>
        <v>0</v>
      </c>
      <c r="K116" s="295">
        <f t="shared" si="34"/>
        <v>0</v>
      </c>
      <c r="L116" s="295">
        <f t="shared" si="34"/>
        <v>0</v>
      </c>
      <c r="M116" s="295">
        <f t="shared" si="34"/>
        <v>0</v>
      </c>
      <c r="N116" s="295">
        <f t="shared" si="34"/>
        <v>0</v>
      </c>
      <c r="O116" s="474">
        <f t="shared" si="34"/>
        <v>-4.462000001221895</v>
      </c>
    </row>
    <row r="117" spans="1:15" ht="12.75">
      <c r="A117" s="277" t="s">
        <v>55</v>
      </c>
      <c r="C117" s="295">
        <f aca="true" t="shared" si="35" ref="C117:O117">+C67-C93</f>
        <v>0</v>
      </c>
      <c r="D117" s="295">
        <f t="shared" si="35"/>
        <v>0</v>
      </c>
      <c r="E117" s="295">
        <f t="shared" si="35"/>
        <v>0</v>
      </c>
      <c r="F117" s="295">
        <f t="shared" si="35"/>
        <v>0</v>
      </c>
      <c r="G117" s="295">
        <f t="shared" si="35"/>
        <v>0</v>
      </c>
      <c r="H117" s="295">
        <f t="shared" si="35"/>
        <v>0</v>
      </c>
      <c r="I117" s="295">
        <f t="shared" si="35"/>
        <v>0</v>
      </c>
      <c r="J117" s="295">
        <f t="shared" si="35"/>
        <v>0</v>
      </c>
      <c r="K117" s="295">
        <f t="shared" si="35"/>
        <v>0</v>
      </c>
      <c r="L117" s="295">
        <f t="shared" si="35"/>
        <v>0</v>
      </c>
      <c r="M117" s="295">
        <f t="shared" si="35"/>
        <v>1.3969838619232178E-09</v>
      </c>
      <c r="N117" s="295">
        <f t="shared" si="35"/>
        <v>0.01810994162224233</v>
      </c>
      <c r="O117" s="474">
        <f t="shared" si="35"/>
        <v>-4.612890059128404</v>
      </c>
    </row>
    <row r="118" spans="1:15" ht="12.75">
      <c r="A118" s="277" t="s">
        <v>56</v>
      </c>
      <c r="C118" s="295">
        <f aca="true" t="shared" si="36" ref="C118:O118">+C68-C94</f>
        <v>0</v>
      </c>
      <c r="D118" s="295">
        <f t="shared" si="36"/>
        <v>0</v>
      </c>
      <c r="E118" s="295">
        <f t="shared" si="36"/>
        <v>0</v>
      </c>
      <c r="F118" s="295">
        <f t="shared" si="36"/>
        <v>0</v>
      </c>
      <c r="G118" s="295">
        <f t="shared" si="36"/>
        <v>0</v>
      </c>
      <c r="H118" s="295">
        <f t="shared" si="36"/>
        <v>0</v>
      </c>
      <c r="I118" s="295">
        <f t="shared" si="36"/>
        <v>0</v>
      </c>
      <c r="J118" s="295">
        <f t="shared" si="36"/>
        <v>0</v>
      </c>
      <c r="K118" s="295">
        <f t="shared" si="36"/>
        <v>0</v>
      </c>
      <c r="L118" s="295">
        <f t="shared" si="36"/>
        <v>0</v>
      </c>
      <c r="M118" s="295">
        <f t="shared" si="36"/>
        <v>0</v>
      </c>
      <c r="N118" s="474">
        <f t="shared" si="36"/>
        <v>-0.020618715323507786</v>
      </c>
      <c r="O118" s="474">
        <f t="shared" si="36"/>
        <v>-4.579618714749813</v>
      </c>
    </row>
    <row r="119" spans="1:15" ht="12.75">
      <c r="A119" s="277" t="s">
        <v>57</v>
      </c>
      <c r="C119" s="295">
        <f aca="true" t="shared" si="37" ref="C119:O119">+C69-C95</f>
        <v>0</v>
      </c>
      <c r="D119" s="295">
        <f t="shared" si="37"/>
        <v>0</v>
      </c>
      <c r="E119" s="295">
        <f t="shared" si="37"/>
        <v>0</v>
      </c>
      <c r="F119" s="295">
        <f t="shared" si="37"/>
        <v>0</v>
      </c>
      <c r="G119" s="295">
        <f t="shared" si="37"/>
        <v>0</v>
      </c>
      <c r="H119" s="295">
        <f t="shared" si="37"/>
        <v>0</v>
      </c>
      <c r="I119" s="295">
        <f t="shared" si="37"/>
        <v>0</v>
      </c>
      <c r="J119" s="295">
        <f t="shared" si="37"/>
        <v>0</v>
      </c>
      <c r="K119" s="295">
        <f t="shared" si="37"/>
        <v>0</v>
      </c>
      <c r="L119" s="295">
        <f t="shared" si="37"/>
        <v>0</v>
      </c>
      <c r="M119" s="295">
        <f t="shared" si="37"/>
        <v>0</v>
      </c>
      <c r="N119" s="295">
        <f t="shared" si="37"/>
        <v>0.02121700020506978</v>
      </c>
      <c r="O119" s="474">
        <f t="shared" si="37"/>
        <v>-4.3087830021977425</v>
      </c>
    </row>
    <row r="120" spans="1:15" ht="12.75">
      <c r="A120" s="277" t="s">
        <v>61</v>
      </c>
      <c r="C120" s="295">
        <f aca="true" t="shared" si="38" ref="C120:O120">+C70-C96</f>
        <v>0</v>
      </c>
      <c r="D120" s="295">
        <f t="shared" si="38"/>
        <v>0</v>
      </c>
      <c r="E120" s="295">
        <f t="shared" si="38"/>
        <v>0</v>
      </c>
      <c r="F120" s="295">
        <f t="shared" si="38"/>
        <v>0</v>
      </c>
      <c r="G120" s="295">
        <f t="shared" si="38"/>
        <v>0</v>
      </c>
      <c r="H120" s="295">
        <f t="shared" si="38"/>
        <v>0</v>
      </c>
      <c r="I120" s="295">
        <f t="shared" si="38"/>
        <v>0</v>
      </c>
      <c r="J120" s="295">
        <f t="shared" si="38"/>
        <v>0</v>
      </c>
      <c r="K120" s="295">
        <f t="shared" si="38"/>
        <v>0</v>
      </c>
      <c r="L120" s="295">
        <f t="shared" si="38"/>
        <v>0</v>
      </c>
      <c r="M120" s="295">
        <f t="shared" si="38"/>
        <v>0</v>
      </c>
      <c r="N120" s="295">
        <f t="shared" si="38"/>
        <v>0</v>
      </c>
      <c r="O120" s="474">
        <f t="shared" si="38"/>
        <v>-3.952000007033348</v>
      </c>
    </row>
    <row r="121" spans="1:15" ht="12.75">
      <c r="A121" s="277" t="s">
        <v>58</v>
      </c>
      <c r="C121" s="295">
        <f aca="true" t="shared" si="39" ref="C121:O121">+C71-C97</f>
        <v>0</v>
      </c>
      <c r="D121" s="295">
        <f t="shared" si="39"/>
        <v>0</v>
      </c>
      <c r="E121" s="295">
        <f t="shared" si="39"/>
        <v>0</v>
      </c>
      <c r="F121" s="295">
        <f t="shared" si="39"/>
        <v>0</v>
      </c>
      <c r="G121" s="295">
        <f t="shared" si="39"/>
        <v>0</v>
      </c>
      <c r="H121" s="295">
        <f t="shared" si="39"/>
        <v>0</v>
      </c>
      <c r="I121" s="295">
        <f t="shared" si="39"/>
        <v>0</v>
      </c>
      <c r="J121" s="295">
        <f t="shared" si="39"/>
        <v>0</v>
      </c>
      <c r="K121" s="295">
        <f t="shared" si="39"/>
        <v>0</v>
      </c>
      <c r="L121" s="295">
        <f t="shared" si="39"/>
        <v>0</v>
      </c>
      <c r="M121" s="295">
        <f t="shared" si="39"/>
        <v>0</v>
      </c>
      <c r="N121" s="295">
        <f t="shared" si="39"/>
        <v>0</v>
      </c>
      <c r="O121" s="474">
        <f t="shared" si="39"/>
        <v>-4.4809999987483025</v>
      </c>
    </row>
    <row r="122" spans="1:15" ht="12.75">
      <c r="A122" s="277" t="s">
        <v>59</v>
      </c>
      <c r="C122" s="307">
        <f aca="true" t="shared" si="40" ref="C122:O122">+C72-C98</f>
        <v>0</v>
      </c>
      <c r="D122" s="307">
        <f t="shared" si="40"/>
        <v>0</v>
      </c>
      <c r="E122" s="307">
        <f t="shared" si="40"/>
        <v>0</v>
      </c>
      <c r="F122" s="307">
        <f t="shared" si="40"/>
        <v>0</v>
      </c>
      <c r="G122" s="307">
        <f t="shared" si="40"/>
        <v>0</v>
      </c>
      <c r="H122" s="307">
        <f t="shared" si="40"/>
        <v>0</v>
      </c>
      <c r="I122" s="307">
        <f t="shared" si="40"/>
        <v>0</v>
      </c>
      <c r="J122" s="307">
        <f t="shared" si="40"/>
        <v>0</v>
      </c>
      <c r="K122" s="307">
        <f t="shared" si="40"/>
        <v>0</v>
      </c>
      <c r="L122" s="307">
        <f t="shared" si="40"/>
        <v>0</v>
      </c>
      <c r="M122" s="474">
        <f t="shared" si="40"/>
        <v>-9.313225746154785E-10</v>
      </c>
      <c r="N122" s="474">
        <f t="shared" si="40"/>
        <v>-0.0025472267298027873</v>
      </c>
      <c r="O122" s="475">
        <f t="shared" si="40"/>
        <v>-4.757547226734459</v>
      </c>
    </row>
    <row r="123" spans="1:15" ht="12.75">
      <c r="A123" s="277" t="s">
        <v>161</v>
      </c>
      <c r="C123" s="295">
        <f aca="true" t="shared" si="41" ref="C123:O123">+C73-C99</f>
        <v>0</v>
      </c>
      <c r="D123" s="295">
        <f t="shared" si="41"/>
        <v>0</v>
      </c>
      <c r="E123" s="295">
        <f t="shared" si="41"/>
        <v>0</v>
      </c>
      <c r="F123" s="295">
        <f t="shared" si="41"/>
        <v>0</v>
      </c>
      <c r="G123" s="295">
        <f t="shared" si="41"/>
        <v>0</v>
      </c>
      <c r="H123" s="295">
        <f t="shared" si="41"/>
        <v>0</v>
      </c>
      <c r="I123" s="295">
        <f t="shared" si="41"/>
        <v>0</v>
      </c>
      <c r="J123" s="295">
        <f t="shared" si="41"/>
        <v>0</v>
      </c>
      <c r="K123" s="295">
        <f t="shared" si="41"/>
        <v>0</v>
      </c>
      <c r="L123" s="295">
        <f t="shared" si="41"/>
        <v>0</v>
      </c>
      <c r="M123" s="295">
        <f t="shared" si="41"/>
        <v>0</v>
      </c>
      <c r="N123" s="295">
        <f t="shared" si="41"/>
        <v>0.031935371458530426</v>
      </c>
      <c r="O123" s="474">
        <f t="shared" si="41"/>
        <v>-40.913064539432526</v>
      </c>
    </row>
    <row r="124" spans="3:15" ht="12.75"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</row>
    <row r="125" spans="1:15" ht="12.75">
      <c r="A125" s="484" t="s">
        <v>130</v>
      </c>
      <c r="B125" s="48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</row>
    <row r="126" spans="1:15" ht="12.75">
      <c r="A126" s="485" t="s">
        <v>108</v>
      </c>
      <c r="B126" s="485"/>
      <c r="C126" s="295">
        <f aca="true" t="shared" si="42" ref="C126:O126">+C76-C102</f>
        <v>0</v>
      </c>
      <c r="D126" s="295">
        <f t="shared" si="42"/>
        <v>0</v>
      </c>
      <c r="E126" s="295">
        <f t="shared" si="42"/>
        <v>0</v>
      </c>
      <c r="F126" s="295">
        <f t="shared" si="42"/>
        <v>0</v>
      </c>
      <c r="G126" s="295">
        <f t="shared" si="42"/>
        <v>0</v>
      </c>
      <c r="H126" s="295">
        <f t="shared" si="42"/>
        <v>0</v>
      </c>
      <c r="I126" s="295">
        <f t="shared" si="42"/>
        <v>0</v>
      </c>
      <c r="J126" s="295">
        <f t="shared" si="42"/>
        <v>0</v>
      </c>
      <c r="K126" s="295">
        <f t="shared" si="42"/>
        <v>0</v>
      </c>
      <c r="L126" s="295">
        <f t="shared" si="42"/>
        <v>0</v>
      </c>
      <c r="M126" s="295">
        <f t="shared" si="42"/>
        <v>0</v>
      </c>
      <c r="N126" s="295">
        <f t="shared" si="42"/>
        <v>0</v>
      </c>
      <c r="O126" s="474">
        <f t="shared" si="42"/>
        <v>-3.6469999998807907</v>
      </c>
    </row>
    <row r="127" spans="1:15" ht="12.75">
      <c r="A127" s="485" t="s">
        <v>67</v>
      </c>
      <c r="B127" s="485"/>
      <c r="C127" s="295">
        <f aca="true" t="shared" si="43" ref="C127:O127">+C77-C103</f>
        <v>0</v>
      </c>
      <c r="D127" s="295">
        <f t="shared" si="43"/>
        <v>0</v>
      </c>
      <c r="E127" s="295">
        <f t="shared" si="43"/>
        <v>0</v>
      </c>
      <c r="F127" s="295">
        <f t="shared" si="43"/>
        <v>0</v>
      </c>
      <c r="G127" s="295">
        <f t="shared" si="43"/>
        <v>0</v>
      </c>
      <c r="H127" s="295">
        <f t="shared" si="43"/>
        <v>0</v>
      </c>
      <c r="I127" s="295">
        <f t="shared" si="43"/>
        <v>0</v>
      </c>
      <c r="J127" s="295">
        <f t="shared" si="43"/>
        <v>0</v>
      </c>
      <c r="K127" s="295">
        <f t="shared" si="43"/>
        <v>0</v>
      </c>
      <c r="L127" s="295">
        <f t="shared" si="43"/>
        <v>0</v>
      </c>
      <c r="M127" s="295">
        <f t="shared" si="43"/>
        <v>0</v>
      </c>
      <c r="N127" s="295">
        <f t="shared" si="43"/>
        <v>0</v>
      </c>
      <c r="O127" s="295">
        <f t="shared" si="43"/>
        <v>0</v>
      </c>
    </row>
    <row r="128" spans="1:15" ht="12.75">
      <c r="A128" s="485" t="s">
        <v>163</v>
      </c>
      <c r="B128" s="485"/>
      <c r="C128" s="295">
        <f aca="true" t="shared" si="44" ref="C128:O128">+C78-C104</f>
        <v>0</v>
      </c>
      <c r="D128" s="295">
        <f t="shared" si="44"/>
        <v>0</v>
      </c>
      <c r="E128" s="295">
        <f t="shared" si="44"/>
        <v>0</v>
      </c>
      <c r="F128" s="295">
        <f t="shared" si="44"/>
        <v>0</v>
      </c>
      <c r="G128" s="295">
        <f t="shared" si="44"/>
        <v>0</v>
      </c>
      <c r="H128" s="295">
        <f t="shared" si="44"/>
        <v>0</v>
      </c>
      <c r="I128" s="295">
        <f t="shared" si="44"/>
        <v>0</v>
      </c>
      <c r="J128" s="295">
        <f t="shared" si="44"/>
        <v>0</v>
      </c>
      <c r="K128" s="295">
        <f t="shared" si="44"/>
        <v>0</v>
      </c>
      <c r="L128" s="295">
        <f t="shared" si="44"/>
        <v>0</v>
      </c>
      <c r="M128" s="295">
        <f t="shared" si="44"/>
        <v>0</v>
      </c>
      <c r="N128" s="295">
        <f t="shared" si="44"/>
        <v>0</v>
      </c>
      <c r="O128" s="474">
        <f t="shared" si="44"/>
        <v>0</v>
      </c>
    </row>
    <row r="129" spans="1:15" ht="12.75">
      <c r="A129" s="485" t="s">
        <v>151</v>
      </c>
      <c r="B129" s="485"/>
      <c r="C129" s="295">
        <f aca="true" t="shared" si="45" ref="C129:O129">+C79-C105</f>
        <v>0</v>
      </c>
      <c r="D129" s="295">
        <f t="shared" si="45"/>
        <v>0</v>
      </c>
      <c r="E129" s="295">
        <f t="shared" si="45"/>
        <v>171440.1727324998</v>
      </c>
      <c r="F129" s="474">
        <f t="shared" si="45"/>
        <v>-171440.1727324998</v>
      </c>
      <c r="G129" s="295">
        <f t="shared" si="45"/>
        <v>0</v>
      </c>
      <c r="H129" s="295">
        <f t="shared" si="45"/>
        <v>0</v>
      </c>
      <c r="I129" s="295">
        <f t="shared" si="45"/>
        <v>0</v>
      </c>
      <c r="J129" s="295">
        <f t="shared" si="45"/>
        <v>0</v>
      </c>
      <c r="K129" s="295">
        <f t="shared" si="45"/>
        <v>0</v>
      </c>
      <c r="L129" s="295">
        <f t="shared" si="45"/>
        <v>0</v>
      </c>
      <c r="M129" s="295">
        <f t="shared" si="45"/>
        <v>0</v>
      </c>
      <c r="N129" s="295">
        <f t="shared" si="45"/>
        <v>0</v>
      </c>
      <c r="O129" s="474">
        <f t="shared" si="45"/>
        <v>-3.647</v>
      </c>
    </row>
    <row r="130" spans="1:15" ht="12.75">
      <c r="A130" s="485" t="s">
        <v>161</v>
      </c>
      <c r="B130" s="485"/>
      <c r="C130" s="295">
        <f aca="true" t="shared" si="46" ref="C130:O130">+C80-C106</f>
        <v>0</v>
      </c>
      <c r="D130" s="295">
        <f t="shared" si="46"/>
        <v>0</v>
      </c>
      <c r="E130" s="295">
        <f t="shared" si="46"/>
        <v>171440.17273249978</v>
      </c>
      <c r="F130" s="474">
        <f t="shared" si="46"/>
        <v>-171440.1727324998</v>
      </c>
      <c r="G130" s="295">
        <f t="shared" si="46"/>
        <v>0</v>
      </c>
      <c r="H130" s="295">
        <f t="shared" si="46"/>
        <v>0</v>
      </c>
      <c r="I130" s="295">
        <f t="shared" si="46"/>
        <v>0</v>
      </c>
      <c r="J130" s="295">
        <f t="shared" si="46"/>
        <v>0</v>
      </c>
      <c r="K130" s="295">
        <f t="shared" si="46"/>
        <v>0</v>
      </c>
      <c r="L130" s="295">
        <f t="shared" si="46"/>
        <v>0</v>
      </c>
      <c r="M130" s="295">
        <f t="shared" si="46"/>
        <v>0</v>
      </c>
      <c r="N130" s="295">
        <f t="shared" si="46"/>
        <v>0</v>
      </c>
      <c r="O130" s="295">
        <f t="shared" si="46"/>
        <v>0</v>
      </c>
    </row>
    <row r="131" spans="1:15" ht="12.75">
      <c r="A131" s="485"/>
      <c r="B131" s="485"/>
      <c r="C131" s="295"/>
      <c r="D131" s="295"/>
      <c r="E131" s="295"/>
      <c r="F131" s="474"/>
      <c r="G131" s="295"/>
      <c r="H131" s="295"/>
      <c r="I131" s="295"/>
      <c r="J131" s="295"/>
      <c r="K131" s="295"/>
      <c r="L131" s="295"/>
      <c r="M131" s="295"/>
      <c r="N131" s="295"/>
      <c r="O131" s="295"/>
    </row>
    <row r="132" spans="1:15" ht="12.75">
      <c r="A132" s="485" t="s">
        <v>49</v>
      </c>
      <c r="B132" s="485"/>
      <c r="C132" s="295">
        <f aca="true" t="shared" si="47" ref="C132:O132">+C82-C108</f>
        <v>0</v>
      </c>
      <c r="D132" s="295">
        <f t="shared" si="47"/>
        <v>0</v>
      </c>
      <c r="E132" s="295">
        <f t="shared" si="47"/>
        <v>171440.17273249477</v>
      </c>
      <c r="F132" s="474">
        <f t="shared" si="47"/>
        <v>-171440.17273250222</v>
      </c>
      <c r="G132" s="295">
        <f t="shared" si="47"/>
        <v>0</v>
      </c>
      <c r="H132" s="295">
        <f t="shared" si="47"/>
        <v>0</v>
      </c>
      <c r="I132" s="295">
        <f t="shared" si="47"/>
        <v>0</v>
      </c>
      <c r="J132" s="295">
        <f t="shared" si="47"/>
        <v>0</v>
      </c>
      <c r="K132" s="295">
        <f t="shared" si="47"/>
        <v>0</v>
      </c>
      <c r="L132" s="295">
        <f t="shared" si="47"/>
        <v>0</v>
      </c>
      <c r="M132" s="295">
        <f t="shared" si="47"/>
        <v>0</v>
      </c>
      <c r="N132" s="295">
        <f t="shared" si="47"/>
        <v>0.031935371458530426</v>
      </c>
      <c r="O132" s="474">
        <f t="shared" si="47"/>
        <v>-40.91306459903717</v>
      </c>
    </row>
    <row r="134" ht="15.75">
      <c r="A134" s="291" t="s">
        <v>300</v>
      </c>
    </row>
    <row r="136" spans="1:15" ht="12.75">
      <c r="A136" s="278" t="s">
        <v>43</v>
      </c>
      <c r="O136" s="281"/>
    </row>
    <row r="137" spans="1:15" ht="12.75">
      <c r="A137" s="282" t="s">
        <v>133</v>
      </c>
      <c r="B137" s="292">
        <v>5.136</v>
      </c>
      <c r="C137" s="295">
        <f aca="true" t="shared" si="48" ref="C137:N137">C20*$B137/100</f>
        <v>24532129.523782477</v>
      </c>
      <c r="D137" s="295">
        <f t="shared" si="48"/>
        <v>22724255.114186835</v>
      </c>
      <c r="E137" s="295">
        <f t="shared" si="48"/>
        <v>20723496.0096</v>
      </c>
      <c r="F137" s="295">
        <f t="shared" si="48"/>
        <v>16196233.054323353</v>
      </c>
      <c r="G137" s="295">
        <f t="shared" si="48"/>
        <v>15150071.832088307</v>
      </c>
      <c r="H137" s="295">
        <f t="shared" si="48"/>
        <v>12523028.548971796</v>
      </c>
      <c r="I137" s="295">
        <f t="shared" si="48"/>
        <v>13475045.192550113</v>
      </c>
      <c r="J137" s="295">
        <f t="shared" si="48"/>
        <v>13275524.569199866</v>
      </c>
      <c r="K137" s="295">
        <f t="shared" si="48"/>
        <v>12819731.146103341</v>
      </c>
      <c r="L137" s="295">
        <f t="shared" si="48"/>
        <v>14656048.622851426</v>
      </c>
      <c r="M137" s="295">
        <f t="shared" si="48"/>
        <v>17858285.868177395</v>
      </c>
      <c r="N137" s="295">
        <f t="shared" si="48"/>
        <v>20279147.36832</v>
      </c>
      <c r="O137" s="295">
        <f>SUM(B137:N137)</f>
        <v>204213001.98615488</v>
      </c>
    </row>
    <row r="138" spans="1:15" ht="12.75">
      <c r="A138" s="282" t="s">
        <v>134</v>
      </c>
      <c r="B138" s="292">
        <v>5.136</v>
      </c>
      <c r="C138" s="295">
        <f aca="true" t="shared" si="49" ref="C138:N138">C21*$B138/100</f>
        <v>1225201.9929385849</v>
      </c>
      <c r="D138" s="295">
        <f t="shared" si="49"/>
        <v>1152094.9137570297</v>
      </c>
      <c r="E138" s="295">
        <f t="shared" si="49"/>
        <v>1015105.64448</v>
      </c>
      <c r="F138" s="295">
        <f t="shared" si="49"/>
        <v>790857.2375458936</v>
      </c>
      <c r="G138" s="295">
        <f t="shared" si="49"/>
        <v>538454.0799957052</v>
      </c>
      <c r="H138" s="295">
        <f t="shared" si="49"/>
        <v>362677.7860910277</v>
      </c>
      <c r="I138" s="295">
        <f t="shared" si="49"/>
        <v>325416.3667288829</v>
      </c>
      <c r="J138" s="295">
        <f t="shared" si="49"/>
        <v>342692.93805611</v>
      </c>
      <c r="K138" s="295">
        <f t="shared" si="49"/>
        <v>360901.0591814214</v>
      </c>
      <c r="L138" s="295">
        <f t="shared" si="49"/>
        <v>510884.920610843</v>
      </c>
      <c r="M138" s="295">
        <f t="shared" si="49"/>
        <v>888934.0796079754</v>
      </c>
      <c r="N138" s="295">
        <f t="shared" si="49"/>
        <v>1275421.95552</v>
      </c>
      <c r="O138" s="295">
        <f aca="true" t="shared" si="50" ref="O138:O146">SUM(B138:N138)</f>
        <v>8788648.110513475</v>
      </c>
    </row>
    <row r="139" spans="1:15" ht="12.75">
      <c r="A139" s="282" t="s">
        <v>135</v>
      </c>
      <c r="B139" s="292"/>
      <c r="C139" s="295">
        <f>C137+C138</f>
        <v>25757331.516721062</v>
      </c>
      <c r="D139" s="295">
        <f aca="true" t="shared" si="51" ref="D139:N139">D137+D138</f>
        <v>23876350.027943864</v>
      </c>
      <c r="E139" s="295">
        <f t="shared" si="51"/>
        <v>21738601.65408</v>
      </c>
      <c r="F139" s="295">
        <f t="shared" si="51"/>
        <v>16987090.291869245</v>
      </c>
      <c r="G139" s="295">
        <f t="shared" si="51"/>
        <v>15688525.912084011</v>
      </c>
      <c r="H139" s="295">
        <f t="shared" si="51"/>
        <v>12885706.335062824</v>
      </c>
      <c r="I139" s="295">
        <f t="shared" si="51"/>
        <v>13800461.559278997</v>
      </c>
      <c r="J139" s="295">
        <f t="shared" si="51"/>
        <v>13618217.507255975</v>
      </c>
      <c r="K139" s="295">
        <f t="shared" si="51"/>
        <v>13180632.205284763</v>
      </c>
      <c r="L139" s="295">
        <f t="shared" si="51"/>
        <v>15166933.543462269</v>
      </c>
      <c r="M139" s="295">
        <f t="shared" si="51"/>
        <v>18747219.94778537</v>
      </c>
      <c r="N139" s="295">
        <f t="shared" si="51"/>
        <v>21554569.32384</v>
      </c>
      <c r="O139" s="295">
        <f t="shared" si="50"/>
        <v>213001639.8246684</v>
      </c>
    </row>
    <row r="140" spans="1:15" ht="12.75">
      <c r="A140" s="277" t="s">
        <v>52</v>
      </c>
      <c r="B140" s="294">
        <v>5.283</v>
      </c>
      <c r="C140" s="295">
        <f aca="true" t="shared" si="52" ref="C140:N140">C23*$B140/100</f>
        <v>1225467.9416976469</v>
      </c>
      <c r="D140" s="295">
        <f t="shared" si="52"/>
        <v>964748.3540226617</v>
      </c>
      <c r="E140" s="295">
        <f t="shared" si="52"/>
        <v>1005921.7975980002</v>
      </c>
      <c r="F140" s="295">
        <f t="shared" si="52"/>
        <v>906204.4843002387</v>
      </c>
      <c r="G140" s="295">
        <f t="shared" si="52"/>
        <v>1201629.2700162365</v>
      </c>
      <c r="H140" s="295">
        <f t="shared" si="52"/>
        <v>988866.5753367279</v>
      </c>
      <c r="I140" s="295">
        <f t="shared" si="52"/>
        <v>1015082.0484499991</v>
      </c>
      <c r="J140" s="295">
        <f t="shared" si="52"/>
        <v>994586.9048725315</v>
      </c>
      <c r="K140" s="295">
        <f t="shared" si="52"/>
        <v>856621.1307707968</v>
      </c>
      <c r="L140" s="295">
        <f t="shared" si="52"/>
        <v>951814.9818428855</v>
      </c>
      <c r="M140" s="295">
        <f t="shared" si="52"/>
        <v>1028474.2260271531</v>
      </c>
      <c r="N140" s="295">
        <f t="shared" si="52"/>
        <v>1125568.19142</v>
      </c>
      <c r="O140" s="295">
        <f t="shared" si="50"/>
        <v>12264991.189354878</v>
      </c>
    </row>
    <row r="141" spans="1:15" ht="12.75">
      <c r="A141" s="277" t="s">
        <v>53</v>
      </c>
      <c r="B141" s="294">
        <v>5.311</v>
      </c>
      <c r="C141" s="295">
        <f aca="true" t="shared" si="53" ref="C141:N141">C24*$B141/100</f>
        <v>12905518.386468256</v>
      </c>
      <c r="D141" s="295">
        <f t="shared" si="53"/>
        <v>11558730.970704371</v>
      </c>
      <c r="E141" s="295">
        <f t="shared" si="53"/>
        <v>11960077.791844001</v>
      </c>
      <c r="F141" s="295">
        <f t="shared" si="53"/>
        <v>10438755.535308158</v>
      </c>
      <c r="G141" s="295">
        <f t="shared" si="53"/>
        <v>9585939.554066328</v>
      </c>
      <c r="H141" s="295">
        <f t="shared" si="53"/>
        <v>9996490.983597249</v>
      </c>
      <c r="I141" s="295">
        <f t="shared" si="53"/>
        <v>10920729.953724084</v>
      </c>
      <c r="J141" s="295">
        <f t="shared" si="53"/>
        <v>10588472.843213713</v>
      </c>
      <c r="K141" s="295">
        <f t="shared" si="53"/>
        <v>9531404.84872512</v>
      </c>
      <c r="L141" s="295">
        <f t="shared" si="53"/>
        <v>10225196.281398866</v>
      </c>
      <c r="M141" s="295">
        <f t="shared" si="53"/>
        <v>10478906.217060309</v>
      </c>
      <c r="N141" s="295">
        <f t="shared" si="53"/>
        <v>11409455.0657</v>
      </c>
      <c r="O141" s="295">
        <f t="shared" si="50"/>
        <v>129599683.74281046</v>
      </c>
    </row>
    <row r="142" spans="1:15" ht="12.75">
      <c r="A142" s="277" t="s">
        <v>54</v>
      </c>
      <c r="B142" s="294">
        <v>4.836</v>
      </c>
      <c r="C142" s="295">
        <f aca="true" t="shared" si="54" ref="C142:N142">C25*$B142/100</f>
        <v>1711174.3506</v>
      </c>
      <c r="D142" s="295">
        <f t="shared" si="54"/>
        <v>1570676.7024</v>
      </c>
      <c r="E142" s="295">
        <f t="shared" si="54"/>
        <v>1694765.70588</v>
      </c>
      <c r="F142" s="295">
        <f t="shared" si="54"/>
        <v>1552348.2624000001</v>
      </c>
      <c r="G142" s="295">
        <f t="shared" si="54"/>
        <v>1566316.6131600002</v>
      </c>
      <c r="H142" s="295">
        <f t="shared" si="54"/>
        <v>1640537.17152</v>
      </c>
      <c r="I142" s="295">
        <f t="shared" si="54"/>
        <v>1887481.22472</v>
      </c>
      <c r="J142" s="295">
        <f t="shared" si="54"/>
        <v>1862216.02632</v>
      </c>
      <c r="K142" s="295">
        <f t="shared" si="54"/>
        <v>1731055.96872</v>
      </c>
      <c r="L142" s="295">
        <f t="shared" si="54"/>
        <v>1648462.5050400002</v>
      </c>
      <c r="M142" s="295">
        <f t="shared" si="54"/>
        <v>1628747.1002400003</v>
      </c>
      <c r="N142" s="295">
        <f t="shared" si="54"/>
        <v>1629722.76324</v>
      </c>
      <c r="O142" s="295">
        <f t="shared" si="50"/>
        <v>20123509.23024</v>
      </c>
    </row>
    <row r="143" spans="1:15" ht="12.75">
      <c r="A143" s="277" t="s">
        <v>55</v>
      </c>
      <c r="B143" s="294">
        <v>5.02</v>
      </c>
      <c r="C143" s="295">
        <f aca="true" t="shared" si="55" ref="C143:N143">C26*$B143/100</f>
        <v>1266518.179435146</v>
      </c>
      <c r="D143" s="295">
        <f t="shared" si="55"/>
        <v>970026.0241333572</v>
      </c>
      <c r="E143" s="295">
        <f t="shared" si="55"/>
        <v>1136661.2910399998</v>
      </c>
      <c r="F143" s="295">
        <f t="shared" si="55"/>
        <v>969009.982302511</v>
      </c>
      <c r="G143" s="295">
        <f t="shared" si="55"/>
        <v>1138957.0361425215</v>
      </c>
      <c r="H143" s="295">
        <f t="shared" si="55"/>
        <v>1026077.1568874407</v>
      </c>
      <c r="I143" s="295">
        <f t="shared" si="55"/>
        <v>1185189.8059477187</v>
      </c>
      <c r="J143" s="295">
        <f t="shared" si="55"/>
        <v>1001640.5565253026</v>
      </c>
      <c r="K143" s="295">
        <f t="shared" si="55"/>
        <v>1048562.7947827204</v>
      </c>
      <c r="L143" s="295">
        <f t="shared" si="55"/>
        <v>859719.618062129</v>
      </c>
      <c r="M143" s="295">
        <f t="shared" si="55"/>
        <v>1054457.2180625724</v>
      </c>
      <c r="N143" s="295">
        <f t="shared" si="55"/>
        <v>1105290.7989999999</v>
      </c>
      <c r="O143" s="295">
        <f t="shared" si="50"/>
        <v>12762115.48232142</v>
      </c>
    </row>
    <row r="144" spans="1:15" ht="12.75">
      <c r="A144" s="277" t="s">
        <v>56</v>
      </c>
      <c r="B144" s="294">
        <v>4.941</v>
      </c>
      <c r="C144" s="295">
        <f aca="true" t="shared" si="56" ref="C144:N144">C27*$B144/100</f>
        <v>1860313.9489726499</v>
      </c>
      <c r="D144" s="295">
        <f t="shared" si="56"/>
        <v>1812239.6803043976</v>
      </c>
      <c r="E144" s="295">
        <f t="shared" si="56"/>
        <v>1974546.645723</v>
      </c>
      <c r="F144" s="295">
        <f t="shared" si="56"/>
        <v>1900860.063627338</v>
      </c>
      <c r="G144" s="295">
        <f t="shared" si="56"/>
        <v>2053371.7414827046</v>
      </c>
      <c r="H144" s="295">
        <f t="shared" si="56"/>
        <v>2039461.3005714833</v>
      </c>
      <c r="I144" s="295">
        <f t="shared" si="56"/>
        <v>2246513.0540347155</v>
      </c>
      <c r="J144" s="295">
        <f t="shared" si="56"/>
        <v>2122305.2598265717</v>
      </c>
      <c r="K144" s="295">
        <f t="shared" si="56"/>
        <v>2060922.4466785917</v>
      </c>
      <c r="L144" s="295">
        <f t="shared" si="56"/>
        <v>1964755.6245376726</v>
      </c>
      <c r="M144" s="295">
        <f t="shared" si="56"/>
        <v>2065462.210122751</v>
      </c>
      <c r="N144" s="295">
        <f t="shared" si="56"/>
        <v>2146587.5075399997</v>
      </c>
      <c r="O144" s="295">
        <f t="shared" si="50"/>
        <v>24247344.424421873</v>
      </c>
    </row>
    <row r="145" spans="1:15" ht="12.75">
      <c r="A145" s="277" t="s">
        <v>57</v>
      </c>
      <c r="B145" s="294">
        <v>4.692</v>
      </c>
      <c r="C145" s="295">
        <f aca="true" t="shared" si="57" ref="C145:N145">C28*$B145/100</f>
        <v>3525927.9256800003</v>
      </c>
      <c r="D145" s="295">
        <f t="shared" si="57"/>
        <v>3181448.4391032006</v>
      </c>
      <c r="E145" s="295">
        <f t="shared" si="57"/>
        <v>3606200.364876</v>
      </c>
      <c r="F145" s="295">
        <f t="shared" si="57"/>
        <v>3564835.4442000003</v>
      </c>
      <c r="G145" s="295">
        <f t="shared" si="57"/>
        <v>3714969.91944</v>
      </c>
      <c r="H145" s="295">
        <f t="shared" si="57"/>
        <v>3442349.4704400003</v>
      </c>
      <c r="I145" s="295">
        <f t="shared" si="57"/>
        <v>3679882.650310801</v>
      </c>
      <c r="J145" s="295">
        <f t="shared" si="57"/>
        <v>4097330.8756308006</v>
      </c>
      <c r="K145" s="295">
        <f t="shared" si="57"/>
        <v>3799707.4525776003</v>
      </c>
      <c r="L145" s="295">
        <f t="shared" si="57"/>
        <v>3872335.1368788006</v>
      </c>
      <c r="M145" s="295">
        <f t="shared" si="57"/>
        <v>3678648.4858680004</v>
      </c>
      <c r="N145" s="295">
        <f t="shared" si="57"/>
        <v>3425997.9912</v>
      </c>
      <c r="O145" s="295">
        <f t="shared" si="50"/>
        <v>43589638.8482052</v>
      </c>
    </row>
    <row r="146" spans="1:15" ht="12.75">
      <c r="A146" s="277" t="s">
        <v>61</v>
      </c>
      <c r="B146" s="294">
        <v>4.284</v>
      </c>
      <c r="C146" s="295">
        <f aca="true" t="shared" si="58" ref="C146:N146">C29*$B146/100</f>
        <v>7215420.5625599995</v>
      </c>
      <c r="D146" s="295">
        <f t="shared" si="58"/>
        <v>6524240.002559999</v>
      </c>
      <c r="E146" s="295">
        <f t="shared" si="58"/>
        <v>7026604.033679999</v>
      </c>
      <c r="F146" s="295">
        <f t="shared" si="58"/>
        <v>6372256.96296</v>
      </c>
      <c r="G146" s="295">
        <f t="shared" si="58"/>
        <v>6699770.947799999</v>
      </c>
      <c r="H146" s="295">
        <f t="shared" si="58"/>
        <v>7007397.747839999</v>
      </c>
      <c r="I146" s="295">
        <f t="shared" si="58"/>
        <v>7241896.71072</v>
      </c>
      <c r="J146" s="295">
        <f t="shared" si="58"/>
        <v>7239080.66616</v>
      </c>
      <c r="K146" s="295">
        <f t="shared" si="58"/>
        <v>6997262.23224</v>
      </c>
      <c r="L146" s="295">
        <f t="shared" si="58"/>
        <v>7125455.020319999</v>
      </c>
      <c r="M146" s="295">
        <f t="shared" si="58"/>
        <v>6248085.22296</v>
      </c>
      <c r="N146" s="295">
        <f t="shared" si="58"/>
        <v>7028302.3826399995</v>
      </c>
      <c r="O146" s="295">
        <f t="shared" si="50"/>
        <v>82725776.77644001</v>
      </c>
    </row>
    <row r="147" spans="1:15" ht="12.75">
      <c r="A147" s="277" t="s">
        <v>58</v>
      </c>
      <c r="B147" s="294">
        <v>4.857</v>
      </c>
      <c r="C147" s="295">
        <f aca="true" t="shared" si="59" ref="C147:N147">C30*$B147/100</f>
        <v>1012584.39723</v>
      </c>
      <c r="D147" s="295">
        <f t="shared" si="59"/>
        <v>920404.07421</v>
      </c>
      <c r="E147" s="295">
        <f t="shared" si="59"/>
        <v>896564.26683</v>
      </c>
      <c r="F147" s="295">
        <f t="shared" si="59"/>
        <v>645547.2699000001</v>
      </c>
      <c r="G147" s="295">
        <f t="shared" si="59"/>
        <v>674692.1355300001</v>
      </c>
      <c r="H147" s="295">
        <f t="shared" si="59"/>
        <v>637089.38724</v>
      </c>
      <c r="I147" s="295">
        <f t="shared" si="59"/>
        <v>704867.02515</v>
      </c>
      <c r="J147" s="295">
        <f t="shared" si="59"/>
        <v>694146.12048</v>
      </c>
      <c r="K147" s="295">
        <f t="shared" si="59"/>
        <v>677562.1854000001</v>
      </c>
      <c r="L147" s="295">
        <f t="shared" si="59"/>
        <v>732363.61926</v>
      </c>
      <c r="M147" s="295">
        <f t="shared" si="59"/>
        <v>841091.44986</v>
      </c>
      <c r="N147" s="295">
        <f t="shared" si="59"/>
        <v>945649.6916700001</v>
      </c>
      <c r="O147" s="323">
        <f>SUM(B147:N147)</f>
        <v>9382566.47976</v>
      </c>
    </row>
    <row r="148" spans="1:15" ht="12.75">
      <c r="A148" s="277" t="s">
        <v>59</v>
      </c>
      <c r="B148" s="294">
        <v>5.152</v>
      </c>
      <c r="C148" s="295">
        <f aca="true" t="shared" si="60" ref="C148:N148">C31*$B148/100</f>
        <v>454086.91922191426</v>
      </c>
      <c r="D148" s="295">
        <f t="shared" si="60"/>
        <v>435169.14457208576</v>
      </c>
      <c r="E148" s="295">
        <f t="shared" si="60"/>
        <v>486512.200832</v>
      </c>
      <c r="F148" s="295">
        <f t="shared" si="60"/>
        <v>432230.52118894877</v>
      </c>
      <c r="G148" s="295">
        <f t="shared" si="60"/>
        <v>497289.51322065154</v>
      </c>
      <c r="H148" s="295">
        <f t="shared" si="60"/>
        <v>459616.0820777196</v>
      </c>
      <c r="I148" s="295">
        <f t="shared" si="60"/>
        <v>497120.66022647975</v>
      </c>
      <c r="J148" s="295">
        <f t="shared" si="60"/>
        <v>500281.7668880033</v>
      </c>
      <c r="K148" s="295">
        <f t="shared" si="60"/>
        <v>507108.9945014366</v>
      </c>
      <c r="L148" s="295">
        <f t="shared" si="60"/>
        <v>486906.59768670006</v>
      </c>
      <c r="M148" s="295">
        <f t="shared" si="60"/>
        <v>539230.8771815336</v>
      </c>
      <c r="N148" s="295">
        <f t="shared" si="60"/>
        <v>518440.65952</v>
      </c>
      <c r="O148" s="323">
        <f>SUM(B148:N148)</f>
        <v>5813999.089117473</v>
      </c>
    </row>
    <row r="149" spans="1:15" ht="12.75">
      <c r="A149" s="277" t="s">
        <v>161</v>
      </c>
      <c r="B149" s="294"/>
      <c r="C149" s="295">
        <f aca="true" t="shared" si="61" ref="C149:O149">SUM(C139:C148)</f>
        <v>56934344.12858668</v>
      </c>
      <c r="D149" s="295">
        <f t="shared" si="61"/>
        <v>51814033.41995394</v>
      </c>
      <c r="E149" s="295">
        <f t="shared" si="61"/>
        <v>51526455.75238301</v>
      </c>
      <c r="F149" s="295">
        <f t="shared" si="61"/>
        <v>43769138.81805644</v>
      </c>
      <c r="G149" s="295">
        <f t="shared" si="61"/>
        <v>42821462.64294245</v>
      </c>
      <c r="H149" s="295">
        <f t="shared" si="61"/>
        <v>40123592.21057344</v>
      </c>
      <c r="I149" s="295">
        <f t="shared" si="61"/>
        <v>43179224.692562796</v>
      </c>
      <c r="J149" s="295">
        <f t="shared" si="61"/>
        <v>42718278.52717289</v>
      </c>
      <c r="K149" s="295">
        <f t="shared" si="61"/>
        <v>40390840.25968102</v>
      </c>
      <c r="L149" s="295">
        <f t="shared" si="61"/>
        <v>43033942.92848932</v>
      </c>
      <c r="M149" s="295">
        <f t="shared" si="61"/>
        <v>46310322.95516769</v>
      </c>
      <c r="N149" s="295">
        <f t="shared" si="61"/>
        <v>50889584.37577</v>
      </c>
      <c r="O149" s="295">
        <f t="shared" si="61"/>
        <v>553511265.0873398</v>
      </c>
    </row>
    <row r="150" spans="2:14" ht="12.75">
      <c r="B150" s="294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</row>
    <row r="151" spans="1:14" ht="12.75">
      <c r="A151" s="484" t="s">
        <v>130</v>
      </c>
      <c r="B151" s="486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</row>
    <row r="152" spans="1:15" ht="12.75">
      <c r="A152" s="485" t="s">
        <v>108</v>
      </c>
      <c r="B152" s="486">
        <v>3.848</v>
      </c>
      <c r="C152" s="295">
        <f aca="true" t="shared" si="62" ref="C152:N152">C35*$B152/100</f>
        <v>596363.04</v>
      </c>
      <c r="D152" s="295">
        <f t="shared" si="62"/>
        <v>479999.52</v>
      </c>
      <c r="E152" s="295">
        <f t="shared" si="62"/>
        <v>594746.88</v>
      </c>
      <c r="F152" s="295">
        <f t="shared" si="62"/>
        <v>387878.4</v>
      </c>
      <c r="G152" s="295">
        <f t="shared" si="62"/>
        <v>400807.68</v>
      </c>
      <c r="H152" s="295">
        <f t="shared" si="62"/>
        <v>472924.74111999996</v>
      </c>
      <c r="I152" s="295">
        <f t="shared" si="62"/>
        <v>596363.04</v>
      </c>
      <c r="J152" s="295">
        <f t="shared" si="62"/>
        <v>596363.04</v>
      </c>
      <c r="K152" s="295">
        <f t="shared" si="62"/>
        <v>557575.2</v>
      </c>
      <c r="L152" s="295">
        <f t="shared" si="62"/>
        <v>596363.04</v>
      </c>
      <c r="M152" s="295">
        <f t="shared" si="62"/>
        <v>559191.36</v>
      </c>
      <c r="N152" s="295">
        <f t="shared" si="62"/>
        <v>596363.04</v>
      </c>
      <c r="O152" s="295">
        <f>SUM(B152:N152)</f>
        <v>6434942.829120001</v>
      </c>
    </row>
    <row r="153" spans="1:14" ht="12.75">
      <c r="A153" s="485"/>
      <c r="B153" s="486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</row>
    <row r="154" spans="1:15" ht="12.75">
      <c r="A154" s="485" t="s">
        <v>49</v>
      </c>
      <c r="B154" s="486"/>
      <c r="C154" s="295">
        <f>+C149+C152</f>
        <v>57530707.16858668</v>
      </c>
      <c r="D154" s="295">
        <f aca="true" t="shared" si="63" ref="D154:N154">+D149+D152</f>
        <v>52294032.939953946</v>
      </c>
      <c r="E154" s="295">
        <f t="shared" si="63"/>
        <v>52121202.63238301</v>
      </c>
      <c r="F154" s="295">
        <f t="shared" si="63"/>
        <v>44157017.21805644</v>
      </c>
      <c r="G154" s="295">
        <f t="shared" si="63"/>
        <v>43222270.32294245</v>
      </c>
      <c r="H154" s="295">
        <f t="shared" si="63"/>
        <v>40596516.951693445</v>
      </c>
      <c r="I154" s="295">
        <f t="shared" si="63"/>
        <v>43775587.732562795</v>
      </c>
      <c r="J154" s="295">
        <f t="shared" si="63"/>
        <v>43314641.56717289</v>
      </c>
      <c r="K154" s="295">
        <f t="shared" si="63"/>
        <v>40948415.45968103</v>
      </c>
      <c r="L154" s="295">
        <f t="shared" si="63"/>
        <v>43630305.96848932</v>
      </c>
      <c r="M154" s="295">
        <f t="shared" si="63"/>
        <v>46869514.31516769</v>
      </c>
      <c r="N154" s="295">
        <f t="shared" si="63"/>
        <v>51485947.41577</v>
      </c>
      <c r="O154" s="295">
        <f>O149+O152</f>
        <v>559946207.9164598</v>
      </c>
    </row>
    <row r="155" spans="3:14" ht="12.75"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</row>
    <row r="157" ht="15.75">
      <c r="A157" s="291" t="s">
        <v>283</v>
      </c>
    </row>
    <row r="158" spans="1:2" ht="12.75">
      <c r="A158" s="277" t="s">
        <v>284</v>
      </c>
      <c r="B158" s="318">
        <v>0.0796</v>
      </c>
    </row>
    <row r="159" spans="1:15" ht="12.75">
      <c r="A159" s="278" t="s">
        <v>291</v>
      </c>
      <c r="C159" s="281">
        <f aca="true" t="shared" si="64" ref="C159:N159">(C4-C7+C9+C10)-(C16+C52+C53+C8)</f>
        <v>62137485.301033154</v>
      </c>
      <c r="D159" s="281">
        <f t="shared" si="64"/>
        <v>58529187.633465424</v>
      </c>
      <c r="E159" s="281">
        <f t="shared" si="64"/>
        <v>63124914.54304017</v>
      </c>
      <c r="F159" s="281">
        <f t="shared" si="64"/>
        <v>44995407.086666666</v>
      </c>
      <c r="G159" s="281">
        <f t="shared" si="64"/>
        <v>41280273.42879017</v>
      </c>
      <c r="H159" s="281">
        <f t="shared" si="64"/>
        <v>39549023.52389017</v>
      </c>
      <c r="I159" s="281">
        <f t="shared" si="64"/>
        <v>45202699.61397547</v>
      </c>
      <c r="J159" s="281">
        <f t="shared" si="64"/>
        <v>45104502.584990166</v>
      </c>
      <c r="K159" s="281">
        <f t="shared" si="64"/>
        <v>45569567.908640176</v>
      </c>
      <c r="L159" s="281">
        <f t="shared" si="64"/>
        <v>43705248.19659016</v>
      </c>
      <c r="M159" s="281">
        <f t="shared" si="64"/>
        <v>46143043.13719526</v>
      </c>
      <c r="N159" s="281">
        <f t="shared" si="64"/>
        <v>61863616.51022012</v>
      </c>
      <c r="O159" s="281">
        <f>SUM(C159:N159)</f>
        <v>597204969.4684972</v>
      </c>
    </row>
    <row r="160" spans="1:15" ht="12.75">
      <c r="A160" s="282" t="s">
        <v>285</v>
      </c>
      <c r="C160" s="293">
        <f>C108</f>
        <v>53096327.619788095</v>
      </c>
      <c r="D160" s="293">
        <f aca="true" t="shared" si="65" ref="D160:N160">D108</f>
        <v>48261778.837468095</v>
      </c>
      <c r="E160" s="293">
        <f t="shared" si="65"/>
        <v>48105087.598319</v>
      </c>
      <c r="F160" s="293">
        <f t="shared" si="65"/>
        <v>40751637.97541762</v>
      </c>
      <c r="G160" s="293">
        <f t="shared" si="65"/>
        <v>39889497.854619816</v>
      </c>
      <c r="H160" s="293">
        <f t="shared" si="65"/>
        <v>37468378.24092306</v>
      </c>
      <c r="I160" s="293">
        <f t="shared" si="65"/>
        <v>40404673.184050046</v>
      </c>
      <c r="J160" s="293">
        <f t="shared" si="65"/>
        <v>39979486.41478163</v>
      </c>
      <c r="K160" s="293">
        <f t="shared" si="65"/>
        <v>37795282.07365352</v>
      </c>
      <c r="L160" s="293">
        <f>L108</f>
        <v>40270800.649630934</v>
      </c>
      <c r="M160" s="293">
        <f t="shared" si="65"/>
        <v>43258786.54290183</v>
      </c>
      <c r="N160" s="293">
        <f t="shared" si="65"/>
        <v>47519015.31373</v>
      </c>
      <c r="O160" s="293">
        <f>SUM(C160:N160)</f>
        <v>516800752.3052836</v>
      </c>
    </row>
    <row r="161" spans="1:15" ht="12.75">
      <c r="A161" s="282" t="s">
        <v>157</v>
      </c>
      <c r="C161" s="293">
        <f>+C159-C160</f>
        <v>9041157.681245059</v>
      </c>
      <c r="D161" s="293">
        <f aca="true" t="shared" si="66" ref="D161:N161">+D159-D160</f>
        <v>10267408.795997329</v>
      </c>
      <c r="E161" s="293">
        <f t="shared" si="66"/>
        <v>15019826.94472117</v>
      </c>
      <c r="F161" s="293">
        <f t="shared" si="66"/>
        <v>4243769.111249045</v>
      </c>
      <c r="G161" s="293">
        <f t="shared" si="66"/>
        <v>1390775.574170351</v>
      </c>
      <c r="H161" s="293">
        <f t="shared" si="66"/>
        <v>2080645.2829671055</v>
      </c>
      <c r="I161" s="293">
        <f t="shared" si="66"/>
        <v>4798026.429925427</v>
      </c>
      <c r="J161" s="293">
        <f t="shared" si="66"/>
        <v>5125016.170208536</v>
      </c>
      <c r="K161" s="293">
        <f t="shared" si="66"/>
        <v>7774285.834986657</v>
      </c>
      <c r="L161" s="293">
        <f t="shared" si="66"/>
        <v>3434447.546959229</v>
      </c>
      <c r="M161" s="293">
        <f t="shared" si="66"/>
        <v>2884256.5942934304</v>
      </c>
      <c r="N161" s="293">
        <f t="shared" si="66"/>
        <v>14344601.196490116</v>
      </c>
      <c r="O161" s="293">
        <f>SUM(C161:N161)</f>
        <v>80404217.16321346</v>
      </c>
    </row>
    <row r="162" spans="1:15" ht="12.75">
      <c r="A162" s="282" t="s">
        <v>292</v>
      </c>
      <c r="C162" s="293">
        <f>C161</f>
        <v>9041157.681245059</v>
      </c>
      <c r="D162" s="293">
        <f>D161+C162</f>
        <v>19308566.477242388</v>
      </c>
      <c r="E162" s="293">
        <f aca="true" t="shared" si="67" ref="E162:N162">E161+D162</f>
        <v>34328393.42196356</v>
      </c>
      <c r="F162" s="293">
        <f t="shared" si="67"/>
        <v>38572162.5332126</v>
      </c>
      <c r="G162" s="293">
        <f t="shared" si="67"/>
        <v>39962938.10738295</v>
      </c>
      <c r="H162" s="293">
        <f t="shared" si="67"/>
        <v>42043583.39035006</v>
      </c>
      <c r="I162" s="293">
        <f t="shared" si="67"/>
        <v>46841609.820275486</v>
      </c>
      <c r="J162" s="293">
        <f t="shared" si="67"/>
        <v>51966625.99048402</v>
      </c>
      <c r="K162" s="293">
        <f t="shared" si="67"/>
        <v>59740911.82547068</v>
      </c>
      <c r="L162" s="293">
        <f t="shared" si="67"/>
        <v>63175359.37242991</v>
      </c>
      <c r="M162" s="293">
        <f t="shared" si="67"/>
        <v>66059615.96672334</v>
      </c>
      <c r="N162" s="293">
        <f t="shared" si="67"/>
        <v>80404217.16321346</v>
      </c>
      <c r="O162" s="293"/>
    </row>
    <row r="163" spans="1:15" ht="12.75">
      <c r="A163" s="282" t="s">
        <v>286</v>
      </c>
      <c r="C163" s="293">
        <f>C162*$B$158/12</f>
        <v>59973.01261892556</v>
      </c>
      <c r="D163" s="293">
        <f aca="true" t="shared" si="68" ref="D163:M163">D162*$B$158/12</f>
        <v>128080.15763237451</v>
      </c>
      <c r="E163" s="293">
        <f t="shared" si="68"/>
        <v>227711.67636569162</v>
      </c>
      <c r="F163" s="293">
        <f t="shared" si="68"/>
        <v>255862.01147031027</v>
      </c>
      <c r="G163" s="293">
        <f t="shared" si="68"/>
        <v>265087.4894456403</v>
      </c>
      <c r="H163" s="293">
        <f t="shared" si="68"/>
        <v>278889.10315598873</v>
      </c>
      <c r="I163" s="293">
        <f t="shared" si="68"/>
        <v>310716.0118078274</v>
      </c>
      <c r="J163" s="293">
        <f t="shared" si="68"/>
        <v>344711.95240354404</v>
      </c>
      <c r="K163" s="293">
        <f t="shared" si="68"/>
        <v>396281.3817756222</v>
      </c>
      <c r="L163" s="293">
        <f t="shared" si="68"/>
        <v>419063.21717045177</v>
      </c>
      <c r="M163" s="293">
        <f t="shared" si="68"/>
        <v>438195.4525792648</v>
      </c>
      <c r="N163" s="293">
        <f>N162*$B$158/12</f>
        <v>533347.973849316</v>
      </c>
      <c r="O163" s="293">
        <f>SUM(C163:N163)</f>
        <v>3657919.4402749576</v>
      </c>
    </row>
  </sheetData>
  <sheetProtection/>
  <printOptions/>
  <pageMargins left="0.7" right="0.7" top="0.75" bottom="0.75" header="0.3" footer="0.3"/>
  <pageSetup fitToHeight="2" fitToWidth="1" horizontalDpi="600" verticalDpi="600" orientation="landscape" paperSize="17" scale="61" r:id="rId1"/>
  <rowBreaks count="1" manualBreakCount="1">
    <brk id="8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26"/>
  <sheetViews>
    <sheetView tabSelected="1" view="pageBreakPreview" zoomScale="6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9" sqref="C9:O28"/>
    </sheetView>
  </sheetViews>
  <sheetFormatPr defaultColWidth="9.140625" defaultRowHeight="12.75"/>
  <cols>
    <col min="1" max="1" width="40.57421875" style="50" bestFit="1" customWidth="1"/>
    <col min="2" max="2" width="17.00390625" style="50" customWidth="1"/>
    <col min="3" max="3" width="19.421875" style="50" bestFit="1" customWidth="1"/>
    <col min="4" max="5" width="19.7109375" style="50" bestFit="1" customWidth="1"/>
    <col min="6" max="6" width="18.421875" style="50" bestFit="1" customWidth="1"/>
    <col min="7" max="7" width="17.7109375" style="50" bestFit="1" customWidth="1"/>
    <col min="8" max="8" width="18.28125" style="50" bestFit="1" customWidth="1"/>
    <col min="9" max="9" width="17.00390625" style="50" bestFit="1" customWidth="1"/>
    <col min="10" max="10" width="18.00390625" style="50" bestFit="1" customWidth="1"/>
    <col min="11" max="11" width="17.7109375" style="50" bestFit="1" customWidth="1"/>
    <col min="12" max="12" width="18.00390625" style="50" bestFit="1" customWidth="1"/>
    <col min="13" max="14" width="18.28125" style="50" bestFit="1" customWidth="1"/>
    <col min="15" max="15" width="20.57421875" style="50" bestFit="1" customWidth="1"/>
    <col min="16" max="16" width="11.7109375" style="50" bestFit="1" customWidth="1"/>
    <col min="17" max="16384" width="9.140625" style="50" customWidth="1"/>
  </cols>
  <sheetData>
    <row r="1" ht="12.75">
      <c r="P1" s="212"/>
    </row>
    <row r="2" ht="12.75">
      <c r="P2" s="212"/>
    </row>
    <row r="3" spans="1:16" s="344" customFormat="1" ht="12.75">
      <c r="A3" s="456" t="s">
        <v>126</v>
      </c>
      <c r="B3" s="456"/>
      <c r="C3" s="455" t="s">
        <v>114</v>
      </c>
      <c r="D3" s="455" t="s">
        <v>115</v>
      </c>
      <c r="E3" s="455" t="s">
        <v>116</v>
      </c>
      <c r="F3" s="455" t="s">
        <v>117</v>
      </c>
      <c r="G3" s="455" t="s">
        <v>118</v>
      </c>
      <c r="H3" s="455" t="s">
        <v>119</v>
      </c>
      <c r="I3" s="455" t="s">
        <v>120</v>
      </c>
      <c r="J3" s="455" t="s">
        <v>121</v>
      </c>
      <c r="K3" s="455" t="s">
        <v>122</v>
      </c>
      <c r="L3" s="455" t="s">
        <v>123</v>
      </c>
      <c r="M3" s="455" t="s">
        <v>124</v>
      </c>
      <c r="N3" s="455" t="s">
        <v>125</v>
      </c>
      <c r="O3" s="455" t="s">
        <v>182</v>
      </c>
      <c r="P3" s="455"/>
    </row>
    <row r="4" spans="1:16" ht="15.75">
      <c r="A4" s="248" t="s">
        <v>127</v>
      </c>
      <c r="B4" s="248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542"/>
      <c r="P4" s="249"/>
    </row>
    <row r="5" spans="1:15" ht="12.75">
      <c r="A5" s="212" t="s">
        <v>43</v>
      </c>
      <c r="B5" s="212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</row>
    <row r="6" spans="1:15" ht="12.75">
      <c r="A6" s="544" t="s">
        <v>133</v>
      </c>
      <c r="B6" s="544"/>
      <c r="C6" s="438">
        <v>491597341.0000003</v>
      </c>
      <c r="D6" s="438">
        <v>447237069.00000006</v>
      </c>
      <c r="E6" s="438">
        <v>434583594.0663284</v>
      </c>
      <c r="F6" s="438">
        <v>342830712.6770455</v>
      </c>
      <c r="G6" s="438">
        <v>317944762.7246134</v>
      </c>
      <c r="H6" s="438">
        <v>262374957.66969824</v>
      </c>
      <c r="I6" s="438">
        <v>255826504.48412168</v>
      </c>
      <c r="J6" s="438">
        <v>256068467.12117815</v>
      </c>
      <c r="K6" s="438">
        <v>257225936.05937248</v>
      </c>
      <c r="L6" s="438">
        <v>285773310.01161015</v>
      </c>
      <c r="M6" s="438">
        <v>331972814.517241</v>
      </c>
      <c r="N6" s="438">
        <v>433996239.6558744</v>
      </c>
      <c r="O6" s="545">
        <f>SUM(C6:N6)</f>
        <v>4117431708.9870834</v>
      </c>
    </row>
    <row r="7" spans="1:15" ht="15">
      <c r="A7" s="544" t="s">
        <v>134</v>
      </c>
      <c r="B7" s="544"/>
      <c r="C7" s="437">
        <v>24531972.844606645</v>
      </c>
      <c r="D7" s="437">
        <v>23582348.746298164</v>
      </c>
      <c r="E7" s="437">
        <v>23542204.07721302</v>
      </c>
      <c r="F7" s="437">
        <v>19053331.20291841</v>
      </c>
      <c r="G7" s="437">
        <v>13564359.01430652</v>
      </c>
      <c r="H7" s="437">
        <v>9141075.003010314</v>
      </c>
      <c r="I7" s="437">
        <v>7263772.667569518</v>
      </c>
      <c r="J7" s="437">
        <v>7441492.09589796</v>
      </c>
      <c r="K7" s="437">
        <v>8327371.07233436</v>
      </c>
      <c r="L7" s="437">
        <v>11226696.750063414</v>
      </c>
      <c r="M7" s="437">
        <v>17098145.917758435</v>
      </c>
      <c r="N7" s="437">
        <v>29542563.608520996</v>
      </c>
      <c r="O7" s="311">
        <f aca="true" t="shared" si="0" ref="O7:O24">SUM(C7:N7)</f>
        <v>194315333.00049773</v>
      </c>
    </row>
    <row r="8" spans="1:15" ht="12.75">
      <c r="A8" s="544" t="s">
        <v>135</v>
      </c>
      <c r="B8" s="544"/>
      <c r="C8" s="438">
        <f>SUM(C6:C7)</f>
        <v>516129313.84460694</v>
      </c>
      <c r="D8" s="438">
        <f aca="true" t="shared" si="1" ref="D8:N8">SUM(D6:D7)</f>
        <v>470819417.7462982</v>
      </c>
      <c r="E8" s="438">
        <f t="shared" si="1"/>
        <v>458125798.14354146</v>
      </c>
      <c r="F8" s="438">
        <f t="shared" si="1"/>
        <v>361884043.87996393</v>
      </c>
      <c r="G8" s="438">
        <f t="shared" si="1"/>
        <v>331509121.73892</v>
      </c>
      <c r="H8" s="438">
        <f t="shared" si="1"/>
        <v>271516032.6727086</v>
      </c>
      <c r="I8" s="438">
        <f t="shared" si="1"/>
        <v>263090277.1516912</v>
      </c>
      <c r="J8" s="438">
        <f t="shared" si="1"/>
        <v>263509959.21707612</v>
      </c>
      <c r="K8" s="438">
        <f t="shared" si="1"/>
        <v>265553307.13170683</v>
      </c>
      <c r="L8" s="324">
        <f>SUM(L6:L7)</f>
        <v>297000006.76167357</v>
      </c>
      <c r="M8" s="438">
        <f t="shared" si="1"/>
        <v>349070960.43499947</v>
      </c>
      <c r="N8" s="438">
        <f t="shared" si="1"/>
        <v>463538803.26439536</v>
      </c>
      <c r="O8" s="545">
        <f t="shared" si="0"/>
        <v>4311747041.987582</v>
      </c>
    </row>
    <row r="9" spans="1:15" ht="12.75">
      <c r="A9" s="543" t="s">
        <v>52</v>
      </c>
      <c r="B9" s="543"/>
      <c r="C9" s="438">
        <v>25054239.0901268</v>
      </c>
      <c r="D9" s="438">
        <v>23947308.926431797</v>
      </c>
      <c r="E9" s="438">
        <v>24778327.71529182</v>
      </c>
      <c r="F9" s="438">
        <v>19673628.478945963</v>
      </c>
      <c r="G9" s="438">
        <v>19705463.919923946</v>
      </c>
      <c r="H9" s="438">
        <v>16973750.19414236</v>
      </c>
      <c r="I9" s="438">
        <v>17470246.348917868</v>
      </c>
      <c r="J9" s="438">
        <v>17355842.138498247</v>
      </c>
      <c r="K9" s="438">
        <v>17678286.16211143</v>
      </c>
      <c r="L9" s="438">
        <v>18075941.83632879</v>
      </c>
      <c r="M9" s="438">
        <v>17737765.140632696</v>
      </c>
      <c r="N9" s="438">
        <v>22154198.209045544</v>
      </c>
      <c r="O9" s="545">
        <f t="shared" si="0"/>
        <v>240604998.16039723</v>
      </c>
    </row>
    <row r="10" spans="1:15" ht="12.75">
      <c r="A10" s="543" t="s">
        <v>53</v>
      </c>
      <c r="B10" s="543"/>
      <c r="C10" s="438">
        <v>239579439.10776353</v>
      </c>
      <c r="D10" s="438">
        <v>227368670.79070008</v>
      </c>
      <c r="E10" s="438">
        <v>228184562.05384693</v>
      </c>
      <c r="F10" s="438">
        <v>193918198.35243177</v>
      </c>
      <c r="G10" s="438">
        <v>190109868.0163232</v>
      </c>
      <c r="H10" s="438">
        <v>189265281.33373857</v>
      </c>
      <c r="I10" s="438">
        <v>195835281.50903186</v>
      </c>
      <c r="J10" s="438">
        <v>190588359.90718496</v>
      </c>
      <c r="K10" s="438">
        <v>182428741.7169053</v>
      </c>
      <c r="L10" s="438">
        <v>197173592.92362168</v>
      </c>
      <c r="M10" s="438">
        <v>199422591.7794435</v>
      </c>
      <c r="N10" s="438">
        <v>227394363.22912452</v>
      </c>
      <c r="O10" s="545">
        <f t="shared" si="0"/>
        <v>2461268950.7201157</v>
      </c>
    </row>
    <row r="11" spans="1:15" ht="12.75">
      <c r="A11" s="543" t="s">
        <v>54</v>
      </c>
      <c r="B11" s="543"/>
      <c r="C11" s="438">
        <v>35096557</v>
      </c>
      <c r="D11" s="438">
        <v>30777495</v>
      </c>
      <c r="E11" s="438">
        <v>37224786</v>
      </c>
      <c r="F11" s="438">
        <v>32404250</v>
      </c>
      <c r="G11" s="438">
        <v>33505033</v>
      </c>
      <c r="H11" s="438">
        <v>33139815</v>
      </c>
      <c r="I11" s="438">
        <v>37969360</v>
      </c>
      <c r="J11" s="438">
        <v>38383819</v>
      </c>
      <c r="K11" s="438">
        <v>35811295</v>
      </c>
      <c r="L11" s="438">
        <v>34843162</v>
      </c>
      <c r="M11" s="438">
        <v>32971008.12293102</v>
      </c>
      <c r="N11" s="438">
        <v>33060764.813905407</v>
      </c>
      <c r="O11" s="545">
        <f t="shared" si="0"/>
        <v>415187344.9368364</v>
      </c>
    </row>
    <row r="12" spans="1:15" ht="12.75">
      <c r="A12" s="543" t="s">
        <v>55</v>
      </c>
      <c r="B12" s="543"/>
      <c r="C12" s="438">
        <v>23892128.986424677</v>
      </c>
      <c r="D12" s="438">
        <v>22187486.98978901</v>
      </c>
      <c r="E12" s="438">
        <v>23823017.566372495</v>
      </c>
      <c r="F12" s="438">
        <v>20227973.185708687</v>
      </c>
      <c r="G12" s="438">
        <v>20827850.85325282</v>
      </c>
      <c r="H12" s="438">
        <v>20267882.116491325</v>
      </c>
      <c r="I12" s="438">
        <v>23069569.723985806</v>
      </c>
      <c r="J12" s="438">
        <v>18904477.829306006</v>
      </c>
      <c r="K12" s="438">
        <v>21239241.473004825</v>
      </c>
      <c r="L12" s="438">
        <v>16608872.26853967</v>
      </c>
      <c r="M12" s="438">
        <v>20717128.90960718</v>
      </c>
      <c r="N12" s="438">
        <v>24025307.281967316</v>
      </c>
      <c r="O12" s="545">
        <f t="shared" si="0"/>
        <v>255790937.18444976</v>
      </c>
    </row>
    <row r="13" spans="1:15" ht="12.75">
      <c r="A13" s="543" t="s">
        <v>56</v>
      </c>
      <c r="B13" s="543"/>
      <c r="C13" s="438">
        <v>37338669.36657387</v>
      </c>
      <c r="D13" s="438">
        <v>38770685.520580575</v>
      </c>
      <c r="E13" s="438">
        <v>43393092.019857004</v>
      </c>
      <c r="F13" s="438">
        <v>42220873.4699043</v>
      </c>
      <c r="G13" s="438">
        <v>38261549.511217296</v>
      </c>
      <c r="H13" s="438">
        <v>41597947.68831301</v>
      </c>
      <c r="I13" s="438">
        <v>41403757.83794585</v>
      </c>
      <c r="J13" s="438">
        <v>40025150.94381815</v>
      </c>
      <c r="K13" s="438">
        <v>43093385.160355315</v>
      </c>
      <c r="L13" s="438">
        <v>41794995.01671873</v>
      </c>
      <c r="M13" s="438">
        <v>41136127.63727259</v>
      </c>
      <c r="N13" s="438">
        <v>41904505.43741902</v>
      </c>
      <c r="O13" s="545">
        <f t="shared" si="0"/>
        <v>490940739.6099757</v>
      </c>
    </row>
    <row r="14" spans="1:15" ht="12.75">
      <c r="A14" s="543" t="s">
        <v>57</v>
      </c>
      <c r="B14" s="543"/>
      <c r="C14" s="438">
        <v>77413569.44</v>
      </c>
      <c r="D14" s="438">
        <v>72775167.68</v>
      </c>
      <c r="E14" s="438">
        <v>77538009.69</v>
      </c>
      <c r="F14" s="438">
        <v>75612712.44</v>
      </c>
      <c r="G14" s="438">
        <v>76648467</v>
      </c>
      <c r="H14" s="438">
        <v>77452544.22</v>
      </c>
      <c r="I14" s="438">
        <v>77012032.9</v>
      </c>
      <c r="J14" s="438">
        <v>79399380.52000001</v>
      </c>
      <c r="K14" s="438">
        <v>80836843.09</v>
      </c>
      <c r="L14" s="438">
        <v>77490481.31</v>
      </c>
      <c r="M14" s="438">
        <v>79373258.69984713</v>
      </c>
      <c r="N14" s="438">
        <v>75071104.01097429</v>
      </c>
      <c r="O14" s="545">
        <f t="shared" si="0"/>
        <v>926623571.0008214</v>
      </c>
    </row>
    <row r="15" spans="1:15" ht="12.75">
      <c r="A15" s="543" t="s">
        <v>61</v>
      </c>
      <c r="B15" s="543"/>
      <c r="C15" s="438">
        <v>159693344</v>
      </c>
      <c r="D15" s="438">
        <v>150509400</v>
      </c>
      <c r="E15" s="438">
        <v>169463371</v>
      </c>
      <c r="F15" s="438">
        <v>169151051</v>
      </c>
      <c r="G15" s="438">
        <v>178375532</v>
      </c>
      <c r="H15" s="438">
        <v>156522315</v>
      </c>
      <c r="I15" s="438">
        <v>178918489</v>
      </c>
      <c r="J15" s="438">
        <v>163566049</v>
      </c>
      <c r="K15" s="438">
        <v>85857834</v>
      </c>
      <c r="L15" s="438">
        <v>25729147</v>
      </c>
      <c r="M15" s="438">
        <v>37618560.00000001</v>
      </c>
      <c r="N15" s="438">
        <v>38872512</v>
      </c>
      <c r="O15" s="545">
        <f t="shared" si="0"/>
        <v>1514277604</v>
      </c>
    </row>
    <row r="16" spans="1:15" ht="12.75">
      <c r="A16" s="543" t="s">
        <v>58</v>
      </c>
      <c r="B16" s="543"/>
      <c r="C16" s="438">
        <v>20421066</v>
      </c>
      <c r="D16" s="438">
        <v>19292747</v>
      </c>
      <c r="E16" s="438">
        <v>19378649</v>
      </c>
      <c r="F16" s="438">
        <v>15767063</v>
      </c>
      <c r="G16" s="438">
        <v>14060408</v>
      </c>
      <c r="H16" s="438">
        <v>12650029</v>
      </c>
      <c r="I16" s="438">
        <v>13607616</v>
      </c>
      <c r="J16" s="438">
        <v>13564379</v>
      </c>
      <c r="K16" s="438">
        <v>13258088</v>
      </c>
      <c r="L16" s="438">
        <v>15256829</v>
      </c>
      <c r="M16" s="438">
        <v>16706794.005903678</v>
      </c>
      <c r="N16" s="438">
        <v>19819901.316194266</v>
      </c>
      <c r="O16" s="545">
        <f t="shared" si="0"/>
        <v>193783569.32209796</v>
      </c>
    </row>
    <row r="17" spans="1:15" ht="15">
      <c r="A17" s="543" t="s">
        <v>59</v>
      </c>
      <c r="B17" s="543"/>
      <c r="C17" s="437">
        <v>8861752.24295505</v>
      </c>
      <c r="D17" s="437">
        <v>8916948.142315011</v>
      </c>
      <c r="E17" s="437">
        <v>9926719.6398334</v>
      </c>
      <c r="F17" s="437">
        <v>9225098.637041202</v>
      </c>
      <c r="G17" s="437">
        <v>9906998.59548337</v>
      </c>
      <c r="H17" s="437">
        <v>8951400.126645159</v>
      </c>
      <c r="I17" s="437">
        <v>9337248.837506989</v>
      </c>
      <c r="J17" s="437">
        <v>9533539.786029493</v>
      </c>
      <c r="K17" s="437">
        <v>9875713.277327318</v>
      </c>
      <c r="L17" s="437">
        <v>9289066.42838288</v>
      </c>
      <c r="M17" s="437">
        <v>10031257.468571562</v>
      </c>
      <c r="N17" s="437">
        <v>10094127.10237779</v>
      </c>
      <c r="O17" s="311">
        <f t="shared" si="0"/>
        <v>113949870.2844692</v>
      </c>
    </row>
    <row r="18" spans="1:15" ht="12.75">
      <c r="A18" s="212" t="s">
        <v>63</v>
      </c>
      <c r="B18" s="543"/>
      <c r="C18" s="313">
        <f>SUM(C8:C17)</f>
        <v>1143480079.078451</v>
      </c>
      <c r="D18" s="313">
        <f aca="true" t="shared" si="2" ref="D18:N18">SUM(D8:D17)</f>
        <v>1065365327.7961146</v>
      </c>
      <c r="E18" s="313">
        <f t="shared" si="2"/>
        <v>1091836332.8287432</v>
      </c>
      <c r="F18" s="313">
        <f t="shared" si="2"/>
        <v>940084892.4439958</v>
      </c>
      <c r="G18" s="313">
        <f t="shared" si="2"/>
        <v>912910292.6351205</v>
      </c>
      <c r="H18" s="313">
        <f t="shared" si="2"/>
        <v>828336997.352039</v>
      </c>
      <c r="I18" s="313">
        <f t="shared" si="2"/>
        <v>857713879.3090795</v>
      </c>
      <c r="J18" s="313">
        <f t="shared" si="2"/>
        <v>834830957.3419129</v>
      </c>
      <c r="K18" s="313">
        <f t="shared" si="2"/>
        <v>755632735.011411</v>
      </c>
      <c r="L18" s="313">
        <f t="shared" si="2"/>
        <v>733262094.5452654</v>
      </c>
      <c r="M18" s="313">
        <f t="shared" si="2"/>
        <v>804785452.1992087</v>
      </c>
      <c r="N18" s="313">
        <f t="shared" si="2"/>
        <v>955935586.6654035</v>
      </c>
      <c r="O18" s="312">
        <f>SUM(O8:O17)</f>
        <v>10924174627.206747</v>
      </c>
    </row>
    <row r="19" spans="1:15" ht="12.75">
      <c r="A19" s="543"/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5"/>
    </row>
    <row r="20" spans="1:15" ht="12.75">
      <c r="A20" s="212" t="s">
        <v>130</v>
      </c>
      <c r="B20" s="212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5"/>
    </row>
    <row r="21" spans="1:15" ht="12.75">
      <c r="A21" s="543" t="s">
        <v>108</v>
      </c>
      <c r="B21" s="543"/>
      <c r="C21" s="438">
        <v>15498000</v>
      </c>
      <c r="D21" s="438">
        <v>12474000</v>
      </c>
      <c r="E21" s="438">
        <v>15456000</v>
      </c>
      <c r="F21" s="438">
        <v>14490000</v>
      </c>
      <c r="G21" s="438">
        <v>15498000</v>
      </c>
      <c r="H21" s="438">
        <v>14490000</v>
      </c>
      <c r="I21" s="438">
        <v>15498000</v>
      </c>
      <c r="J21" s="438">
        <v>15498000</v>
      </c>
      <c r="K21" s="438">
        <v>14490000</v>
      </c>
      <c r="L21" s="438">
        <v>15498000</v>
      </c>
      <c r="M21" s="438">
        <v>14490000</v>
      </c>
      <c r="N21" s="438">
        <v>15498000</v>
      </c>
      <c r="O21" s="545">
        <f t="shared" si="0"/>
        <v>178878000</v>
      </c>
    </row>
    <row r="22" spans="1:15" ht="12.75">
      <c r="A22" s="543" t="s">
        <v>67</v>
      </c>
      <c r="B22" s="543"/>
      <c r="C22" s="438">
        <v>-454389.73000000045</v>
      </c>
      <c r="D22" s="438">
        <v>-212701</v>
      </c>
      <c r="E22" s="438">
        <v>-204956</v>
      </c>
      <c r="F22" s="438">
        <v>97033</v>
      </c>
      <c r="G22" s="438">
        <v>1811286.33</v>
      </c>
      <c r="H22" s="438">
        <v>-59875.1399999996</v>
      </c>
      <c r="I22" s="438">
        <v>2008272</v>
      </c>
      <c r="J22" s="438">
        <v>1500759.79</v>
      </c>
      <c r="K22" s="438">
        <v>589830</v>
      </c>
      <c r="L22" s="438">
        <v>2739820.4000000004</v>
      </c>
      <c r="M22" s="438">
        <v>1309936.4100000001</v>
      </c>
      <c r="N22" s="438">
        <v>200343</v>
      </c>
      <c r="O22" s="545">
        <f t="shared" si="0"/>
        <v>9325359.06</v>
      </c>
    </row>
    <row r="23" spans="1:15" ht="12.75">
      <c r="A23" s="543" t="s">
        <v>163</v>
      </c>
      <c r="B23" s="543"/>
      <c r="C23" s="438">
        <v>15750000</v>
      </c>
      <c r="D23" s="438">
        <v>15750000</v>
      </c>
      <c r="E23" s="438">
        <v>15750000</v>
      </c>
      <c r="F23" s="438">
        <v>15750000</v>
      </c>
      <c r="G23" s="438">
        <v>15750000</v>
      </c>
      <c r="H23" s="438">
        <v>15750000</v>
      </c>
      <c r="I23" s="438">
        <v>15750000</v>
      </c>
      <c r="J23" s="438">
        <v>15750000</v>
      </c>
      <c r="K23" s="438">
        <v>15750000</v>
      </c>
      <c r="L23" s="438">
        <v>15750000</v>
      </c>
      <c r="M23" s="438">
        <v>15750000</v>
      </c>
      <c r="N23" s="438">
        <v>15750000</v>
      </c>
      <c r="O23" s="545">
        <f t="shared" si="0"/>
        <v>189000000</v>
      </c>
    </row>
    <row r="24" spans="1:15" ht="12.75">
      <c r="A24" s="543" t="s">
        <v>151</v>
      </c>
      <c r="B24" s="543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545">
        <f t="shared" si="0"/>
        <v>0</v>
      </c>
    </row>
    <row r="25" spans="1:15" ht="12.75">
      <c r="A25" s="212" t="s">
        <v>139</v>
      </c>
      <c r="B25" s="543"/>
      <c r="C25" s="313">
        <f>SUM(C21:C24)</f>
        <v>30793610.27</v>
      </c>
      <c r="D25" s="313">
        <f aca="true" t="shared" si="3" ref="D25:N25">SUM(D21:D24)</f>
        <v>28011299</v>
      </c>
      <c r="E25" s="313">
        <f t="shared" si="3"/>
        <v>31001044</v>
      </c>
      <c r="F25" s="313">
        <f t="shared" si="3"/>
        <v>30337033</v>
      </c>
      <c r="G25" s="313">
        <f t="shared" si="3"/>
        <v>33059286.33</v>
      </c>
      <c r="H25" s="313">
        <f t="shared" si="3"/>
        <v>30180124.86</v>
      </c>
      <c r="I25" s="313">
        <f t="shared" si="3"/>
        <v>33256272</v>
      </c>
      <c r="J25" s="313">
        <f t="shared" si="3"/>
        <v>32748759.79</v>
      </c>
      <c r="K25" s="313">
        <f t="shared" si="3"/>
        <v>30829830</v>
      </c>
      <c r="L25" s="313">
        <f t="shared" si="3"/>
        <v>33987820.4</v>
      </c>
      <c r="M25" s="313">
        <f t="shared" si="3"/>
        <v>31549936.41</v>
      </c>
      <c r="N25" s="313">
        <f t="shared" si="3"/>
        <v>31448343</v>
      </c>
      <c r="O25" s="312">
        <f>SUM(O21:O24)</f>
        <v>377203359.06</v>
      </c>
    </row>
    <row r="26" spans="1:15" ht="12.75">
      <c r="A26" s="543"/>
      <c r="B26" s="543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545"/>
    </row>
    <row r="27" spans="1:15" ht="12.75">
      <c r="A27" s="212" t="s">
        <v>279</v>
      </c>
      <c r="B27" s="543"/>
      <c r="C27" s="313">
        <v>1174273689.348451</v>
      </c>
      <c r="D27" s="313">
        <v>1093376626.7961147</v>
      </c>
      <c r="E27" s="313">
        <v>1122837376.828743</v>
      </c>
      <c r="F27" s="313">
        <v>970421925.4439958</v>
      </c>
      <c r="G27" s="313">
        <v>945969578.9651207</v>
      </c>
      <c r="H27" s="313">
        <v>858517122.2120391</v>
      </c>
      <c r="I27" s="313">
        <v>890970151.3090796</v>
      </c>
      <c r="J27" s="313">
        <v>867579717.1319131</v>
      </c>
      <c r="K27" s="313">
        <v>786462565.0114111</v>
      </c>
      <c r="L27" s="313">
        <v>767249914.9452654</v>
      </c>
      <c r="M27" s="313">
        <v>836335388.6092087</v>
      </c>
      <c r="N27" s="313">
        <v>987383929.6654036</v>
      </c>
      <c r="O27" s="313">
        <f>O18+O25</f>
        <v>11301377986.266747</v>
      </c>
    </row>
    <row r="28" spans="1:15" ht="12.75">
      <c r="A28" s="543"/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5"/>
    </row>
    <row r="29" spans="1:15" ht="12.75">
      <c r="A29" s="212" t="s">
        <v>131</v>
      </c>
      <c r="B29" s="212"/>
      <c r="C29" s="438">
        <v>208000</v>
      </c>
      <c r="D29" s="438">
        <v>60000</v>
      </c>
      <c r="E29" s="438">
        <v>350000</v>
      </c>
      <c r="F29" s="438">
        <v>50000</v>
      </c>
      <c r="G29" s="438">
        <v>176000</v>
      </c>
      <c r="H29" s="438">
        <v>0</v>
      </c>
      <c r="I29" s="438">
        <v>1076000</v>
      </c>
      <c r="J29" s="438">
        <v>1230000</v>
      </c>
      <c r="K29" s="438">
        <v>276000</v>
      </c>
      <c r="L29" s="438">
        <v>966000</v>
      </c>
      <c r="M29" s="438">
        <v>21256000</v>
      </c>
      <c r="N29" s="478">
        <v>-4000</v>
      </c>
      <c r="O29" s="312">
        <f>SUM(C29:N29)</f>
        <v>25644000</v>
      </c>
    </row>
    <row r="30" spans="1:15" ht="12.75">
      <c r="A30" s="543"/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</row>
    <row r="31" spans="1:15" ht="15.75">
      <c r="A31" s="248" t="s">
        <v>272</v>
      </c>
      <c r="B31" s="248"/>
      <c r="C31" s="543"/>
      <c r="D31" s="543"/>
      <c r="E31" s="543"/>
      <c r="F31" s="546"/>
      <c r="G31" s="543"/>
      <c r="H31" s="543"/>
      <c r="I31" s="543"/>
      <c r="J31" s="543"/>
      <c r="K31" s="543"/>
      <c r="L31" s="543"/>
      <c r="M31" s="543"/>
      <c r="N31" s="543"/>
      <c r="O31" s="543"/>
    </row>
    <row r="32" spans="1:15" ht="12.75">
      <c r="A32" s="212" t="s">
        <v>43</v>
      </c>
      <c r="B32" s="212"/>
      <c r="C32" s="543"/>
      <c r="D32" s="543"/>
      <c r="E32" s="543"/>
      <c r="F32" s="545"/>
      <c r="G32" s="543"/>
      <c r="H32" s="543"/>
      <c r="I32" s="543"/>
      <c r="J32" s="543"/>
      <c r="K32" s="543"/>
      <c r="L32" s="543"/>
      <c r="M32" s="543"/>
      <c r="N32" s="543"/>
      <c r="O32" s="543"/>
    </row>
    <row r="33" spans="1:16" ht="12.75">
      <c r="A33" s="547" t="s">
        <v>133</v>
      </c>
      <c r="B33" s="212"/>
      <c r="C33" s="438">
        <v>811135.6126500005</v>
      </c>
      <c r="D33" s="438">
        <v>737941.1638500001</v>
      </c>
      <c r="E33" s="438">
        <v>717062.9302094418</v>
      </c>
      <c r="F33" s="438">
        <v>565670.6759171251</v>
      </c>
      <c r="G33" s="438">
        <v>524608.8584956122</v>
      </c>
      <c r="H33" s="438">
        <v>432918.6801550021</v>
      </c>
      <c r="I33" s="438">
        <v>422113.7323988008</v>
      </c>
      <c r="J33" s="438">
        <v>422512.9707499439</v>
      </c>
      <c r="K33" s="438">
        <v>424422.7944979646</v>
      </c>
      <c r="L33" s="438">
        <v>471525.96151915676</v>
      </c>
      <c r="M33" s="438">
        <v>547755.1439534477</v>
      </c>
      <c r="N33" s="438">
        <v>716093.7954321927</v>
      </c>
      <c r="O33" s="548">
        <f>SUM(C33:N33)</f>
        <v>6793762.319828689</v>
      </c>
      <c r="P33" s="308"/>
    </row>
    <row r="34" spans="1:16" ht="15">
      <c r="A34" s="547" t="s">
        <v>134</v>
      </c>
      <c r="B34" s="212"/>
      <c r="C34" s="437">
        <v>40477.75519360096</v>
      </c>
      <c r="D34" s="437">
        <v>38910.87543139197</v>
      </c>
      <c r="E34" s="437">
        <v>38844.636727401485</v>
      </c>
      <c r="F34" s="437">
        <v>31437.996484815376</v>
      </c>
      <c r="G34" s="437">
        <v>22381.192373605758</v>
      </c>
      <c r="H34" s="437">
        <v>15082.773754967018</v>
      </c>
      <c r="I34" s="437">
        <v>11985.224901489704</v>
      </c>
      <c r="J34" s="437">
        <v>12278.461958231634</v>
      </c>
      <c r="K34" s="437">
        <v>13740.162269351695</v>
      </c>
      <c r="L34" s="437">
        <v>18524.049637604632</v>
      </c>
      <c r="M34" s="437">
        <v>28211.94076430142</v>
      </c>
      <c r="N34" s="437">
        <v>48745.22995405964</v>
      </c>
      <c r="O34" s="328">
        <f>SUM(C34:N34)</f>
        <v>320620.2994508213</v>
      </c>
      <c r="P34" s="308"/>
    </row>
    <row r="35" spans="1:16" ht="12.75">
      <c r="A35" s="547" t="s">
        <v>135</v>
      </c>
      <c r="B35" s="549"/>
      <c r="C35" s="548">
        <f>SUM(C33:C34)</f>
        <v>851613.3678436015</v>
      </c>
      <c r="D35" s="548">
        <f aca="true" t="shared" si="4" ref="D35:N35">SUM(D33:D34)</f>
        <v>776852.0392813921</v>
      </c>
      <c r="E35" s="548">
        <f t="shared" si="4"/>
        <v>755907.5669368433</v>
      </c>
      <c r="F35" s="548">
        <f t="shared" si="4"/>
        <v>597108.6724019405</v>
      </c>
      <c r="G35" s="548">
        <f t="shared" si="4"/>
        <v>546990.050869218</v>
      </c>
      <c r="H35" s="548">
        <f t="shared" si="4"/>
        <v>448001.45390996913</v>
      </c>
      <c r="I35" s="548">
        <f t="shared" si="4"/>
        <v>434098.95730029047</v>
      </c>
      <c r="J35" s="548">
        <f t="shared" si="4"/>
        <v>434791.43270817556</v>
      </c>
      <c r="K35" s="548">
        <f t="shared" si="4"/>
        <v>438162.9567673163</v>
      </c>
      <c r="L35" s="548">
        <f t="shared" si="4"/>
        <v>490050.0111567614</v>
      </c>
      <c r="M35" s="548">
        <f t="shared" si="4"/>
        <v>575967.0847177492</v>
      </c>
      <c r="N35" s="548">
        <f t="shared" si="4"/>
        <v>764839.0253862524</v>
      </c>
      <c r="O35" s="548">
        <f>SUM(C35:N35)</f>
        <v>7114382.6192795085</v>
      </c>
      <c r="P35" s="308"/>
    </row>
    <row r="36" spans="1:16" ht="12.75">
      <c r="A36" s="290" t="s">
        <v>52</v>
      </c>
      <c r="B36" s="549"/>
      <c r="C36" s="438">
        <v>41840.579280511825</v>
      </c>
      <c r="D36" s="438">
        <v>39992.0059071411</v>
      </c>
      <c r="E36" s="438">
        <v>41379.80728453734</v>
      </c>
      <c r="F36" s="438">
        <v>32854.95955983976</v>
      </c>
      <c r="G36" s="438">
        <v>32908.12474627299</v>
      </c>
      <c r="H36" s="438">
        <v>28346.162824217743</v>
      </c>
      <c r="I36" s="438">
        <v>29175.31140269284</v>
      </c>
      <c r="J36" s="438">
        <v>28984.25637129207</v>
      </c>
      <c r="K36" s="438">
        <v>29522.73789072609</v>
      </c>
      <c r="L36" s="438">
        <v>30186.82286666908</v>
      </c>
      <c r="M36" s="438">
        <v>29622.0677848566</v>
      </c>
      <c r="N36" s="438">
        <v>36997.51100910606</v>
      </c>
      <c r="O36" s="548">
        <f aca="true" t="shared" si="5" ref="O36:O48">SUM(C36:N36)</f>
        <v>401810.3469278635</v>
      </c>
      <c r="P36" s="308"/>
    </row>
    <row r="37" spans="1:16" ht="12.75">
      <c r="A37" s="290" t="s">
        <v>53</v>
      </c>
      <c r="B37" s="549"/>
      <c r="C37" s="438">
        <v>318640.6540133255</v>
      </c>
      <c r="D37" s="438">
        <v>302400.3321516311</v>
      </c>
      <c r="E37" s="438">
        <v>303485.4675316164</v>
      </c>
      <c r="F37" s="438">
        <v>257911.20380873425</v>
      </c>
      <c r="G37" s="438">
        <v>252846.12446170987</v>
      </c>
      <c r="H37" s="438">
        <v>251722.8241738723</v>
      </c>
      <c r="I37" s="438">
        <v>260460.92440701238</v>
      </c>
      <c r="J37" s="438">
        <v>253482.518676556</v>
      </c>
      <c r="K37" s="438">
        <v>242630.22648348406</v>
      </c>
      <c r="L37" s="438">
        <v>262240.87858841685</v>
      </c>
      <c r="M37" s="438">
        <v>265232.04706665984</v>
      </c>
      <c r="N37" s="438">
        <v>302434.5030947356</v>
      </c>
      <c r="O37" s="548">
        <f t="shared" si="5"/>
        <v>3273487.7044577543</v>
      </c>
      <c r="P37" s="308"/>
    </row>
    <row r="38" spans="1:16" ht="12.75">
      <c r="A38" s="290" t="s">
        <v>54</v>
      </c>
      <c r="B38" s="549"/>
      <c r="C38" s="438">
        <v>32639.798010000002</v>
      </c>
      <c r="D38" s="438">
        <v>28623.07035</v>
      </c>
      <c r="E38" s="438">
        <v>34619.05098</v>
      </c>
      <c r="F38" s="438">
        <v>30135.9525</v>
      </c>
      <c r="G38" s="438">
        <v>31159.680690000005</v>
      </c>
      <c r="H38" s="438">
        <v>30820.027950000003</v>
      </c>
      <c r="I38" s="438">
        <v>35311.5048</v>
      </c>
      <c r="J38" s="438">
        <v>35696.95167</v>
      </c>
      <c r="K38" s="438">
        <v>33304.50435</v>
      </c>
      <c r="L38" s="438">
        <v>32404.140660000005</v>
      </c>
      <c r="M38" s="438">
        <v>30663.03755432584</v>
      </c>
      <c r="N38" s="438">
        <v>30746.51127693203</v>
      </c>
      <c r="O38" s="548">
        <f t="shared" si="5"/>
        <v>386124.2307912579</v>
      </c>
      <c r="P38" s="308"/>
    </row>
    <row r="39" spans="1:16" ht="12.75">
      <c r="A39" s="290" t="s">
        <v>55</v>
      </c>
      <c r="B39" s="549"/>
      <c r="C39" s="438">
        <v>29626.239943166598</v>
      </c>
      <c r="D39" s="438">
        <v>27512.48386733837</v>
      </c>
      <c r="E39" s="438">
        <v>29540.541782301894</v>
      </c>
      <c r="F39" s="438">
        <v>25082.68675027877</v>
      </c>
      <c r="G39" s="438">
        <v>25826.535058033496</v>
      </c>
      <c r="H39" s="438">
        <v>25132.173824449244</v>
      </c>
      <c r="I39" s="438">
        <v>28606.2664577424</v>
      </c>
      <c r="J39" s="438">
        <v>23441.55250833945</v>
      </c>
      <c r="K39" s="438">
        <v>26336.659426525985</v>
      </c>
      <c r="L39" s="438">
        <v>20595.001612989192</v>
      </c>
      <c r="M39" s="438">
        <v>25689.239847912904</v>
      </c>
      <c r="N39" s="438">
        <v>29791.381029639473</v>
      </c>
      <c r="O39" s="548">
        <f t="shared" si="5"/>
        <v>317180.7621087178</v>
      </c>
      <c r="P39" s="308"/>
    </row>
    <row r="40" spans="1:16" ht="12.75">
      <c r="A40" s="290" t="s">
        <v>56</v>
      </c>
      <c r="B40" s="549"/>
      <c r="C40" s="438">
        <v>41445.922996896996</v>
      </c>
      <c r="D40" s="438">
        <v>43035.46092784444</v>
      </c>
      <c r="E40" s="438">
        <v>48166.332142041276</v>
      </c>
      <c r="F40" s="438">
        <v>46865.16955159378</v>
      </c>
      <c r="G40" s="438">
        <v>42470.319957451204</v>
      </c>
      <c r="H40" s="438">
        <v>46173.72193402744</v>
      </c>
      <c r="I40" s="438">
        <v>45958.1712001199</v>
      </c>
      <c r="J40" s="438">
        <v>44427.91754763815</v>
      </c>
      <c r="K40" s="438">
        <v>47833.6575279944</v>
      </c>
      <c r="L40" s="438">
        <v>46392.44446855779</v>
      </c>
      <c r="M40" s="438">
        <v>45661.10167737258</v>
      </c>
      <c r="N40" s="438">
        <v>46514.00103553512</v>
      </c>
      <c r="O40" s="548">
        <f t="shared" si="5"/>
        <v>544944.2209670731</v>
      </c>
      <c r="P40" s="308"/>
    </row>
    <row r="41" spans="1:16" ht="12.75">
      <c r="A41" s="290" t="s">
        <v>57</v>
      </c>
      <c r="B41" s="549"/>
      <c r="C41" s="438">
        <v>62704.99124639999</v>
      </c>
      <c r="D41" s="438">
        <v>58947.885820799995</v>
      </c>
      <c r="E41" s="438">
        <v>62805.787848899985</v>
      </c>
      <c r="F41" s="438">
        <v>61246.2970764</v>
      </c>
      <c r="G41" s="438">
        <v>62085.25826999999</v>
      </c>
      <c r="H41" s="438">
        <v>62736.560818199985</v>
      </c>
      <c r="I41" s="438">
        <v>62379.74664899999</v>
      </c>
      <c r="J41" s="438">
        <v>64313.49822119999</v>
      </c>
      <c r="K41" s="438">
        <v>65477.8429029</v>
      </c>
      <c r="L41" s="438">
        <v>62767.2898611</v>
      </c>
      <c r="M41" s="438">
        <v>64292.339546876174</v>
      </c>
      <c r="N41" s="438">
        <v>60807.59424888916</v>
      </c>
      <c r="O41" s="548">
        <f t="shared" si="5"/>
        <v>750565.0925106652</v>
      </c>
      <c r="P41" s="308"/>
    </row>
    <row r="42" spans="1:16" ht="12.75">
      <c r="A42" s="290" t="s">
        <v>61</v>
      </c>
      <c r="B42" s="549"/>
      <c r="C42" s="438">
        <v>130470.59852999999</v>
      </c>
      <c r="D42" s="438">
        <v>117520.26021</v>
      </c>
      <c r="E42" s="438">
        <v>129310.12206</v>
      </c>
      <c r="F42" s="438">
        <v>126407.4336</v>
      </c>
      <c r="G42" s="438">
        <v>130618.07766</v>
      </c>
      <c r="H42" s="438">
        <v>124839.33516</v>
      </c>
      <c r="I42" s="438">
        <v>130185.72071999998</v>
      </c>
      <c r="J42" s="438">
        <v>130000.47291</v>
      </c>
      <c r="K42" s="438">
        <v>71825.77314</v>
      </c>
      <c r="L42" s="438">
        <v>20987.03034</v>
      </c>
      <c r="M42" s="438">
        <v>30471.033600000006</v>
      </c>
      <c r="N42" s="438">
        <v>31486.73472</v>
      </c>
      <c r="O42" s="548">
        <f t="shared" si="5"/>
        <v>1174122.59265</v>
      </c>
      <c r="P42" s="308"/>
    </row>
    <row r="43" spans="1:16" ht="12.75">
      <c r="A43" s="290" t="s">
        <v>58</v>
      </c>
      <c r="B43" s="549"/>
      <c r="C43" s="438">
        <v>23075.804579999996</v>
      </c>
      <c r="D43" s="438">
        <v>21800.804109999997</v>
      </c>
      <c r="E43" s="438">
        <v>21897.87337</v>
      </c>
      <c r="F43" s="438">
        <v>17816.78119</v>
      </c>
      <c r="G43" s="438">
        <v>15888.261040000001</v>
      </c>
      <c r="H43" s="438">
        <v>14294.532769999998</v>
      </c>
      <c r="I43" s="438">
        <v>15376.60608</v>
      </c>
      <c r="J43" s="438">
        <v>15327.748269999998</v>
      </c>
      <c r="K43" s="438">
        <v>14981.639439999999</v>
      </c>
      <c r="L43" s="438">
        <v>17240.216769999995</v>
      </c>
      <c r="M43" s="438">
        <v>18878.677226671152</v>
      </c>
      <c r="N43" s="438">
        <v>22396.488487299517</v>
      </c>
      <c r="O43" s="548">
        <f t="shared" si="5"/>
        <v>218975.43333397066</v>
      </c>
      <c r="P43" s="308"/>
    </row>
    <row r="44" spans="1:16" ht="15">
      <c r="A44" s="290" t="s">
        <v>59</v>
      </c>
      <c r="B44" s="549"/>
      <c r="C44" s="437">
        <v>9216.222332673251</v>
      </c>
      <c r="D44" s="437">
        <v>9273.62606800761</v>
      </c>
      <c r="E44" s="437">
        <v>10323.788425426736</v>
      </c>
      <c r="F44" s="437">
        <v>9594.10258252285</v>
      </c>
      <c r="G44" s="437">
        <v>10303.278539302704</v>
      </c>
      <c r="H44" s="437">
        <v>9309.456131710964</v>
      </c>
      <c r="I44" s="437">
        <v>9710.738791007268</v>
      </c>
      <c r="J44" s="437">
        <v>9914.881377470672</v>
      </c>
      <c r="K44" s="437">
        <v>10270.74180842041</v>
      </c>
      <c r="L44" s="437">
        <v>9660.629085518194</v>
      </c>
      <c r="M44" s="437">
        <v>10432.507767314424</v>
      </c>
      <c r="N44" s="437">
        <v>10497.8921864729</v>
      </c>
      <c r="O44" s="328">
        <f t="shared" si="5"/>
        <v>118507.86509584801</v>
      </c>
      <c r="P44" s="308"/>
    </row>
    <row r="45" spans="1:16" ht="12.75">
      <c r="A45" s="329" t="s">
        <v>63</v>
      </c>
      <c r="B45" s="549"/>
      <c r="C45" s="309">
        <f>SUM(C35:C44)</f>
        <v>1541274.1787765755</v>
      </c>
      <c r="D45" s="309">
        <f aca="true" t="shared" si="6" ref="D45:N45">SUM(D35:D44)</f>
        <v>1425957.9686941549</v>
      </c>
      <c r="E45" s="309">
        <f t="shared" si="6"/>
        <v>1437436.338361667</v>
      </c>
      <c r="F45" s="309">
        <f t="shared" si="6"/>
        <v>1205023.2590213101</v>
      </c>
      <c r="G45" s="309">
        <f t="shared" si="6"/>
        <v>1151095.7112919884</v>
      </c>
      <c r="H45" s="309">
        <f t="shared" si="6"/>
        <v>1041376.249496447</v>
      </c>
      <c r="I45" s="309">
        <f t="shared" si="6"/>
        <v>1051263.9478078652</v>
      </c>
      <c r="J45" s="309">
        <f t="shared" si="6"/>
        <v>1040381.2302606718</v>
      </c>
      <c r="K45" s="309">
        <f t="shared" si="6"/>
        <v>980346.7397373671</v>
      </c>
      <c r="L45" s="309">
        <f t="shared" si="6"/>
        <v>992524.4654100126</v>
      </c>
      <c r="M45" s="309">
        <f t="shared" si="6"/>
        <v>1096909.1367897387</v>
      </c>
      <c r="N45" s="309">
        <f t="shared" si="6"/>
        <v>1336511.6424748623</v>
      </c>
      <c r="O45" s="309">
        <f>SUM(O35:O44)</f>
        <v>14300100.868122658</v>
      </c>
      <c r="P45" s="308"/>
    </row>
    <row r="46" spans="1:16" ht="12.75">
      <c r="A46" s="330"/>
      <c r="B46" s="549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308"/>
    </row>
    <row r="47" spans="1:16" ht="12.75">
      <c r="A47" s="330" t="s">
        <v>273</v>
      </c>
      <c r="B47" s="549"/>
      <c r="C47" s="438">
        <v>14103.18</v>
      </c>
      <c r="D47" s="438">
        <v>11351.34</v>
      </c>
      <c r="E47" s="438">
        <v>14064.96</v>
      </c>
      <c r="F47" s="438">
        <v>13185.9</v>
      </c>
      <c r="G47" s="438">
        <v>14103.18</v>
      </c>
      <c r="H47" s="438">
        <v>13185.9</v>
      </c>
      <c r="I47" s="438">
        <v>14103.18</v>
      </c>
      <c r="J47" s="438">
        <v>14103.18</v>
      </c>
      <c r="K47" s="438">
        <v>13185.9</v>
      </c>
      <c r="L47" s="438">
        <v>14103.18</v>
      </c>
      <c r="M47" s="438">
        <v>13185.9</v>
      </c>
      <c r="N47" s="438">
        <v>14103.18</v>
      </c>
      <c r="O47" s="548">
        <f t="shared" si="5"/>
        <v>162778.97999999995</v>
      </c>
      <c r="P47" s="308"/>
    </row>
    <row r="48" spans="1:16" ht="15">
      <c r="A48" s="330" t="s">
        <v>274</v>
      </c>
      <c r="B48" s="549"/>
      <c r="C48" s="437">
        <v>0</v>
      </c>
      <c r="D48" s="437">
        <v>0</v>
      </c>
      <c r="E48" s="437"/>
      <c r="F48" s="437"/>
      <c r="G48" s="437">
        <v>0</v>
      </c>
      <c r="H48" s="437">
        <v>0</v>
      </c>
      <c r="I48" s="437">
        <v>0</v>
      </c>
      <c r="J48" s="437">
        <v>0</v>
      </c>
      <c r="K48" s="437">
        <v>0</v>
      </c>
      <c r="L48" s="437">
        <v>0</v>
      </c>
      <c r="M48" s="437">
        <v>0</v>
      </c>
      <c r="N48" s="437">
        <v>0</v>
      </c>
      <c r="O48" s="328">
        <f t="shared" si="5"/>
        <v>0</v>
      </c>
      <c r="P48" s="308"/>
    </row>
    <row r="49" spans="1:16" ht="12.75">
      <c r="A49" s="329" t="s">
        <v>277</v>
      </c>
      <c r="B49" s="549"/>
      <c r="C49" s="309">
        <f>SUM(C47:C48)</f>
        <v>14103.18</v>
      </c>
      <c r="D49" s="309">
        <f aca="true" t="shared" si="7" ref="D49:N49">SUM(D47:D48)</f>
        <v>11351.34</v>
      </c>
      <c r="E49" s="309">
        <f t="shared" si="7"/>
        <v>14064.96</v>
      </c>
      <c r="F49" s="309">
        <f t="shared" si="7"/>
        <v>13185.9</v>
      </c>
      <c r="G49" s="309">
        <f t="shared" si="7"/>
        <v>14103.18</v>
      </c>
      <c r="H49" s="309">
        <f t="shared" si="7"/>
        <v>13185.9</v>
      </c>
      <c r="I49" s="309">
        <f t="shared" si="7"/>
        <v>14103.18</v>
      </c>
      <c r="J49" s="309">
        <f t="shared" si="7"/>
        <v>14103.18</v>
      </c>
      <c r="K49" s="309">
        <f t="shared" si="7"/>
        <v>13185.9</v>
      </c>
      <c r="L49" s="309">
        <f t="shared" si="7"/>
        <v>14103.18</v>
      </c>
      <c r="M49" s="309">
        <f t="shared" si="7"/>
        <v>13185.9</v>
      </c>
      <c r="N49" s="309">
        <f t="shared" si="7"/>
        <v>14103.18</v>
      </c>
      <c r="O49" s="309">
        <f>SUM(O47:O48)</f>
        <v>162778.97999999995</v>
      </c>
      <c r="P49" s="308"/>
    </row>
    <row r="50" spans="1:16" ht="12.75">
      <c r="A50" s="329"/>
      <c r="B50" s="549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308"/>
    </row>
    <row r="51" spans="1:16" ht="12.75">
      <c r="A51" s="329" t="s">
        <v>278</v>
      </c>
      <c r="B51" s="543"/>
      <c r="C51" s="309">
        <f>C45+C49</f>
        <v>1555377.3587765754</v>
      </c>
      <c r="D51" s="309">
        <f aca="true" t="shared" si="8" ref="D51:N51">D45+D49</f>
        <v>1437309.308694155</v>
      </c>
      <c r="E51" s="309">
        <f t="shared" si="8"/>
        <v>1451501.298361667</v>
      </c>
      <c r="F51" s="309">
        <f t="shared" si="8"/>
        <v>1218209.15902131</v>
      </c>
      <c r="G51" s="309">
        <f t="shared" si="8"/>
        <v>1165198.8912919883</v>
      </c>
      <c r="H51" s="309">
        <f t="shared" si="8"/>
        <v>1054562.149496447</v>
      </c>
      <c r="I51" s="309">
        <f t="shared" si="8"/>
        <v>1065367.1278078652</v>
      </c>
      <c r="J51" s="309">
        <f t="shared" si="8"/>
        <v>1054484.4102606717</v>
      </c>
      <c r="K51" s="309">
        <f t="shared" si="8"/>
        <v>993532.6397373672</v>
      </c>
      <c r="L51" s="309">
        <f t="shared" si="8"/>
        <v>1006627.6454100127</v>
      </c>
      <c r="M51" s="309">
        <f t="shared" si="8"/>
        <v>1110095.0367897386</v>
      </c>
      <c r="N51" s="309">
        <f t="shared" si="8"/>
        <v>1350614.8224748622</v>
      </c>
      <c r="O51" s="309">
        <f>SUM(C51:N51)</f>
        <v>14462879.848122662</v>
      </c>
      <c r="P51" s="308"/>
    </row>
    <row r="52" spans="1:15" ht="12.75">
      <c r="A52" s="212"/>
      <c r="B52" s="212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</row>
    <row r="53" spans="1:16" ht="15.75">
      <c r="A53" s="291" t="s">
        <v>228</v>
      </c>
      <c r="B53" s="278"/>
      <c r="C53" s="278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77"/>
    </row>
    <row r="54" spans="1:16" ht="12.75">
      <c r="A54" s="278"/>
      <c r="B54" s="278"/>
      <c r="C54" s="278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77"/>
    </row>
    <row r="55" spans="1:16" ht="12.75">
      <c r="A55" s="278" t="s">
        <v>43</v>
      </c>
      <c r="B55" s="278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77"/>
    </row>
    <row r="56" spans="1:15" ht="12.75">
      <c r="A56" s="547" t="s">
        <v>133</v>
      </c>
      <c r="B56" s="292">
        <v>0.165</v>
      </c>
      <c r="C56" s="550">
        <f>C6*$B56/100</f>
        <v>811135.6126500006</v>
      </c>
      <c r="D56" s="550">
        <f aca="true" t="shared" si="9" ref="D56:N56">D6*$B56/100</f>
        <v>737941.1638500002</v>
      </c>
      <c r="E56" s="550">
        <f t="shared" si="9"/>
        <v>717062.9302094419</v>
      </c>
      <c r="F56" s="550">
        <f t="shared" si="9"/>
        <v>565670.6759171251</v>
      </c>
      <c r="G56" s="550">
        <f t="shared" si="9"/>
        <v>524608.8584956122</v>
      </c>
      <c r="H56" s="550">
        <f t="shared" si="9"/>
        <v>432918.6801550021</v>
      </c>
      <c r="I56" s="550">
        <f t="shared" si="9"/>
        <v>422113.7323988008</v>
      </c>
      <c r="J56" s="550">
        <f t="shared" si="9"/>
        <v>422512.970749944</v>
      </c>
      <c r="K56" s="550">
        <f t="shared" si="9"/>
        <v>424422.7944979646</v>
      </c>
      <c r="L56" s="550">
        <f t="shared" si="9"/>
        <v>471525.96151915676</v>
      </c>
      <c r="M56" s="550">
        <f t="shared" si="9"/>
        <v>547755.1439534477</v>
      </c>
      <c r="N56" s="550">
        <f t="shared" si="9"/>
        <v>716093.7954321927</v>
      </c>
      <c r="O56" s="550">
        <f aca="true" t="shared" si="10" ref="O56:O67">SUM(B56:N56)</f>
        <v>6793762.484828688</v>
      </c>
    </row>
    <row r="57" spans="1:15" ht="12.75">
      <c r="A57" s="547" t="s">
        <v>134</v>
      </c>
      <c r="B57" s="292">
        <v>0.165</v>
      </c>
      <c r="C57" s="550">
        <f aca="true" t="shared" si="11" ref="C57:N57">C7*$B57/100</f>
        <v>40477.75519360097</v>
      </c>
      <c r="D57" s="550">
        <f t="shared" si="11"/>
        <v>38910.87543139197</v>
      </c>
      <c r="E57" s="550">
        <f t="shared" si="11"/>
        <v>38844.636727401485</v>
      </c>
      <c r="F57" s="550">
        <f t="shared" si="11"/>
        <v>31437.99648481538</v>
      </c>
      <c r="G57" s="550">
        <f t="shared" si="11"/>
        <v>22381.192373605758</v>
      </c>
      <c r="H57" s="550">
        <f t="shared" si="11"/>
        <v>15082.773754967018</v>
      </c>
      <c r="I57" s="550">
        <f t="shared" si="11"/>
        <v>11985.224901489706</v>
      </c>
      <c r="J57" s="550">
        <f t="shared" si="11"/>
        <v>12278.461958231635</v>
      </c>
      <c r="K57" s="550">
        <f t="shared" si="11"/>
        <v>13740.162269351695</v>
      </c>
      <c r="L57" s="550">
        <f t="shared" si="11"/>
        <v>18524.049637604632</v>
      </c>
      <c r="M57" s="550">
        <f t="shared" si="11"/>
        <v>28211.94076430142</v>
      </c>
      <c r="N57" s="550">
        <f t="shared" si="11"/>
        <v>48745.22995405964</v>
      </c>
      <c r="O57" s="550">
        <f t="shared" si="10"/>
        <v>320620.4644508213</v>
      </c>
    </row>
    <row r="58" spans="1:15" ht="12.75">
      <c r="A58" s="547" t="s">
        <v>135</v>
      </c>
      <c r="B58" s="292">
        <v>0.165</v>
      </c>
      <c r="C58" s="550">
        <f>SUM(C56:C57)</f>
        <v>851613.3678436016</v>
      </c>
      <c r="D58" s="550">
        <f aca="true" t="shared" si="12" ref="D58:N58">SUM(D56:D57)</f>
        <v>776852.0392813922</v>
      </c>
      <c r="E58" s="550">
        <f t="shared" si="12"/>
        <v>755907.5669368434</v>
      </c>
      <c r="F58" s="550">
        <f t="shared" si="12"/>
        <v>597108.6724019405</v>
      </c>
      <c r="G58" s="550">
        <f t="shared" si="12"/>
        <v>546990.050869218</v>
      </c>
      <c r="H58" s="550">
        <f t="shared" si="12"/>
        <v>448001.45390996913</v>
      </c>
      <c r="I58" s="550">
        <f t="shared" si="12"/>
        <v>434098.95730029047</v>
      </c>
      <c r="J58" s="550">
        <f t="shared" si="12"/>
        <v>434791.4327081756</v>
      </c>
      <c r="K58" s="550">
        <f t="shared" si="12"/>
        <v>438162.9567673163</v>
      </c>
      <c r="L58" s="550">
        <f t="shared" si="12"/>
        <v>490050.0111567614</v>
      </c>
      <c r="M58" s="550">
        <f t="shared" si="12"/>
        <v>575967.0847177492</v>
      </c>
      <c r="N58" s="550">
        <f t="shared" si="12"/>
        <v>764839.0253862524</v>
      </c>
      <c r="O58" s="550">
        <f t="shared" si="10"/>
        <v>7114382.784279509</v>
      </c>
    </row>
    <row r="59" spans="1:15" ht="12.75">
      <c r="A59" s="290" t="s">
        <v>52</v>
      </c>
      <c r="B59" s="294">
        <v>0.167</v>
      </c>
      <c r="C59" s="550">
        <f aca="true" t="shared" si="13" ref="C59:N59">C9*$B59/100</f>
        <v>41840.57928051176</v>
      </c>
      <c r="D59" s="550">
        <f t="shared" si="13"/>
        <v>39992.00590714111</v>
      </c>
      <c r="E59" s="550">
        <f t="shared" si="13"/>
        <v>41379.807284537346</v>
      </c>
      <c r="F59" s="550">
        <f t="shared" si="13"/>
        <v>32854.95955983976</v>
      </c>
      <c r="G59" s="550">
        <f t="shared" si="13"/>
        <v>32908.124746272995</v>
      </c>
      <c r="H59" s="550">
        <f t="shared" si="13"/>
        <v>28346.162824217743</v>
      </c>
      <c r="I59" s="550">
        <f t="shared" si="13"/>
        <v>29175.31140269284</v>
      </c>
      <c r="J59" s="550">
        <f t="shared" si="13"/>
        <v>28984.25637129207</v>
      </c>
      <c r="K59" s="550">
        <f t="shared" si="13"/>
        <v>29522.73789072609</v>
      </c>
      <c r="L59" s="550">
        <f t="shared" si="13"/>
        <v>30186.822866669077</v>
      </c>
      <c r="M59" s="550">
        <f t="shared" si="13"/>
        <v>29622.067784856605</v>
      </c>
      <c r="N59" s="550">
        <f t="shared" si="13"/>
        <v>36997.51100910606</v>
      </c>
      <c r="O59" s="550">
        <f t="shared" si="10"/>
        <v>401810.51392786345</v>
      </c>
    </row>
    <row r="60" spans="1:15" ht="12.75">
      <c r="A60" s="290" t="s">
        <v>53</v>
      </c>
      <c r="B60" s="294">
        <v>0.133</v>
      </c>
      <c r="C60" s="550">
        <f aca="true" t="shared" si="14" ref="C60:N60">C10*$B60/100</f>
        <v>318640.6540133255</v>
      </c>
      <c r="D60" s="550">
        <f t="shared" si="14"/>
        <v>302400.3321516311</v>
      </c>
      <c r="E60" s="550">
        <f t="shared" si="14"/>
        <v>303485.46753161645</v>
      </c>
      <c r="F60" s="550">
        <f t="shared" si="14"/>
        <v>257911.20380873428</v>
      </c>
      <c r="G60" s="550">
        <f t="shared" si="14"/>
        <v>252846.1244617099</v>
      </c>
      <c r="H60" s="550">
        <f t="shared" si="14"/>
        <v>251722.82417387233</v>
      </c>
      <c r="I60" s="550">
        <f t="shared" si="14"/>
        <v>260460.92440701238</v>
      </c>
      <c r="J60" s="550">
        <f t="shared" si="14"/>
        <v>253482.518676556</v>
      </c>
      <c r="K60" s="550">
        <f t="shared" si="14"/>
        <v>242630.22648348406</v>
      </c>
      <c r="L60" s="550">
        <f t="shared" si="14"/>
        <v>262240.87858841685</v>
      </c>
      <c r="M60" s="550">
        <f t="shared" si="14"/>
        <v>265232.0470666599</v>
      </c>
      <c r="N60" s="550">
        <f t="shared" si="14"/>
        <v>302434.5030947356</v>
      </c>
      <c r="O60" s="550">
        <f t="shared" si="10"/>
        <v>3273487.8374577546</v>
      </c>
    </row>
    <row r="61" spans="1:15" ht="12.75">
      <c r="A61" s="290" t="s">
        <v>54</v>
      </c>
      <c r="B61" s="294">
        <v>0.093</v>
      </c>
      <c r="C61" s="550">
        <f aca="true" t="shared" si="15" ref="C61:N61">C11*$B61/100</f>
        <v>32639.79801</v>
      </c>
      <c r="D61" s="550">
        <f t="shared" si="15"/>
        <v>28623.07035</v>
      </c>
      <c r="E61" s="550">
        <f t="shared" si="15"/>
        <v>34619.05098</v>
      </c>
      <c r="F61" s="550">
        <f t="shared" si="15"/>
        <v>30135.9525</v>
      </c>
      <c r="G61" s="550">
        <f t="shared" si="15"/>
        <v>31159.68069</v>
      </c>
      <c r="H61" s="550">
        <f t="shared" si="15"/>
        <v>30820.02795</v>
      </c>
      <c r="I61" s="550">
        <f t="shared" si="15"/>
        <v>35311.5048</v>
      </c>
      <c r="J61" s="550">
        <f t="shared" si="15"/>
        <v>35696.95167</v>
      </c>
      <c r="K61" s="550">
        <f t="shared" si="15"/>
        <v>33304.50435</v>
      </c>
      <c r="L61" s="550">
        <f t="shared" si="15"/>
        <v>32404.14066</v>
      </c>
      <c r="M61" s="550">
        <f t="shared" si="15"/>
        <v>30663.03755432585</v>
      </c>
      <c r="N61" s="550">
        <f t="shared" si="15"/>
        <v>30746.51127693203</v>
      </c>
      <c r="O61" s="550">
        <f t="shared" si="10"/>
        <v>386124.32379125786</v>
      </c>
    </row>
    <row r="62" spans="1:15" ht="12.75">
      <c r="A62" s="290" t="s">
        <v>55</v>
      </c>
      <c r="B62" s="294">
        <v>0.124</v>
      </c>
      <c r="C62" s="550">
        <f aca="true" t="shared" si="16" ref="C62:N62">C12*$B62/100</f>
        <v>29626.239943166598</v>
      </c>
      <c r="D62" s="550">
        <f t="shared" si="16"/>
        <v>27512.48386733837</v>
      </c>
      <c r="E62" s="550">
        <f t="shared" si="16"/>
        <v>29540.541782301894</v>
      </c>
      <c r="F62" s="550">
        <f t="shared" si="16"/>
        <v>25082.68675027877</v>
      </c>
      <c r="G62" s="550">
        <f t="shared" si="16"/>
        <v>25826.5350580335</v>
      </c>
      <c r="H62" s="550">
        <f t="shared" si="16"/>
        <v>25132.17382444924</v>
      </c>
      <c r="I62" s="550">
        <f t="shared" si="16"/>
        <v>28606.2664577424</v>
      </c>
      <c r="J62" s="550">
        <f t="shared" si="16"/>
        <v>23441.55250833945</v>
      </c>
      <c r="K62" s="550">
        <f t="shared" si="16"/>
        <v>26336.659426525985</v>
      </c>
      <c r="L62" s="550">
        <f t="shared" si="16"/>
        <v>20595.001612989192</v>
      </c>
      <c r="M62" s="550">
        <f t="shared" si="16"/>
        <v>25689.2398479129</v>
      </c>
      <c r="N62" s="550">
        <f t="shared" si="16"/>
        <v>29791.381029639473</v>
      </c>
      <c r="O62" s="550">
        <f t="shared" si="10"/>
        <v>317180.8861087178</v>
      </c>
    </row>
    <row r="63" spans="1:15" ht="12.75">
      <c r="A63" s="290" t="s">
        <v>56</v>
      </c>
      <c r="B63" s="294">
        <v>0.111</v>
      </c>
      <c r="C63" s="550">
        <f aca="true" t="shared" si="17" ref="C63:N63">C13*$B63/100</f>
        <v>41445.922996896996</v>
      </c>
      <c r="D63" s="550">
        <f t="shared" si="17"/>
        <v>43035.46092784444</v>
      </c>
      <c r="E63" s="550">
        <f t="shared" si="17"/>
        <v>48166.332142041276</v>
      </c>
      <c r="F63" s="550">
        <f t="shared" si="17"/>
        <v>46865.169551593775</v>
      </c>
      <c r="G63" s="550">
        <f t="shared" si="17"/>
        <v>42470.3199574512</v>
      </c>
      <c r="H63" s="550">
        <f t="shared" si="17"/>
        <v>46173.72193402744</v>
      </c>
      <c r="I63" s="550">
        <f t="shared" si="17"/>
        <v>45958.17120011989</v>
      </c>
      <c r="J63" s="550">
        <f t="shared" si="17"/>
        <v>44427.91754763815</v>
      </c>
      <c r="K63" s="550">
        <f t="shared" si="17"/>
        <v>47833.6575279944</v>
      </c>
      <c r="L63" s="550">
        <f t="shared" si="17"/>
        <v>46392.44446855779</v>
      </c>
      <c r="M63" s="550">
        <f t="shared" si="17"/>
        <v>45661.10167737258</v>
      </c>
      <c r="N63" s="550">
        <f t="shared" si="17"/>
        <v>46514.00103553511</v>
      </c>
      <c r="O63" s="550">
        <f t="shared" si="10"/>
        <v>544944.331967073</v>
      </c>
    </row>
    <row r="64" spans="1:15" ht="12.75">
      <c r="A64" s="290" t="s">
        <v>57</v>
      </c>
      <c r="B64" s="294">
        <v>0.081</v>
      </c>
      <c r="C64" s="550">
        <f aca="true" t="shared" si="18" ref="C64:N64">C14*$B64/100</f>
        <v>62704.9912464</v>
      </c>
      <c r="D64" s="550">
        <f t="shared" si="18"/>
        <v>58947.88582080001</v>
      </c>
      <c r="E64" s="550">
        <f t="shared" si="18"/>
        <v>62805.7878489</v>
      </c>
      <c r="F64" s="550">
        <f t="shared" si="18"/>
        <v>61246.2970764</v>
      </c>
      <c r="G64" s="550">
        <f t="shared" si="18"/>
        <v>62085.258270000006</v>
      </c>
      <c r="H64" s="550">
        <f t="shared" si="18"/>
        <v>62736.5608182</v>
      </c>
      <c r="I64" s="550">
        <f t="shared" si="18"/>
        <v>62379.74664900001</v>
      </c>
      <c r="J64" s="550">
        <f t="shared" si="18"/>
        <v>64313.4982212</v>
      </c>
      <c r="K64" s="550">
        <f t="shared" si="18"/>
        <v>65477.84290290001</v>
      </c>
      <c r="L64" s="550">
        <f t="shared" si="18"/>
        <v>62767.2898611</v>
      </c>
      <c r="M64" s="550">
        <f t="shared" si="18"/>
        <v>64292.339546876174</v>
      </c>
      <c r="N64" s="550">
        <f t="shared" si="18"/>
        <v>60807.594248889174</v>
      </c>
      <c r="O64" s="550">
        <f t="shared" si="10"/>
        <v>750565.1735106653</v>
      </c>
    </row>
    <row r="65" spans="1:15" ht="12.75">
      <c r="A65" s="290" t="s">
        <v>61</v>
      </c>
      <c r="B65" s="294">
        <v>0.081</v>
      </c>
      <c r="C65" s="550">
        <f aca="true" t="shared" si="19" ref="C65:N65">C15*$B65/100</f>
        <v>129351.60864</v>
      </c>
      <c r="D65" s="550">
        <f t="shared" si="19"/>
        <v>121912.614</v>
      </c>
      <c r="E65" s="550">
        <f t="shared" si="19"/>
        <v>137265.33051</v>
      </c>
      <c r="F65" s="550">
        <f t="shared" si="19"/>
        <v>137012.35131</v>
      </c>
      <c r="G65" s="550">
        <f t="shared" si="19"/>
        <v>144484.18092</v>
      </c>
      <c r="H65" s="550">
        <f t="shared" si="19"/>
        <v>126783.07515</v>
      </c>
      <c r="I65" s="550">
        <f t="shared" si="19"/>
        <v>144923.97609</v>
      </c>
      <c r="J65" s="550">
        <f t="shared" si="19"/>
        <v>132488.49969</v>
      </c>
      <c r="K65" s="550">
        <f t="shared" si="19"/>
        <v>69544.84554000001</v>
      </c>
      <c r="L65" s="550">
        <f t="shared" si="19"/>
        <v>20840.609070000002</v>
      </c>
      <c r="M65" s="550">
        <f t="shared" si="19"/>
        <v>30471.03360000001</v>
      </c>
      <c r="N65" s="550">
        <f t="shared" si="19"/>
        <v>31486.73472</v>
      </c>
      <c r="O65" s="550">
        <f t="shared" si="10"/>
        <v>1226564.9402400004</v>
      </c>
    </row>
    <row r="66" spans="1:15" ht="12.75">
      <c r="A66" s="290" t="s">
        <v>58</v>
      </c>
      <c r="B66" s="294">
        <v>0.113</v>
      </c>
      <c r="C66" s="550">
        <f aca="true" t="shared" si="20" ref="C66:N66">C16*$B66/100</f>
        <v>23075.80458</v>
      </c>
      <c r="D66" s="550">
        <f t="shared" si="20"/>
        <v>21800.804109999997</v>
      </c>
      <c r="E66" s="550">
        <f t="shared" si="20"/>
        <v>21897.87337</v>
      </c>
      <c r="F66" s="550">
        <f t="shared" si="20"/>
        <v>17816.781189999998</v>
      </c>
      <c r="G66" s="550">
        <f t="shared" si="20"/>
        <v>15888.261040000001</v>
      </c>
      <c r="H66" s="550">
        <f t="shared" si="20"/>
        <v>14294.53277</v>
      </c>
      <c r="I66" s="550">
        <f t="shared" si="20"/>
        <v>15376.60608</v>
      </c>
      <c r="J66" s="550">
        <f t="shared" si="20"/>
        <v>15327.74827</v>
      </c>
      <c r="K66" s="550">
        <f t="shared" si="20"/>
        <v>14981.63944</v>
      </c>
      <c r="L66" s="550">
        <f t="shared" si="20"/>
        <v>17240.216770000003</v>
      </c>
      <c r="M66" s="550">
        <f t="shared" si="20"/>
        <v>18878.677226671156</v>
      </c>
      <c r="N66" s="550">
        <f t="shared" si="20"/>
        <v>22396.48848729952</v>
      </c>
      <c r="O66" s="550">
        <f t="shared" si="10"/>
        <v>218975.54633397068</v>
      </c>
    </row>
    <row r="67" spans="1:15" ht="12.75">
      <c r="A67" s="290" t="s">
        <v>59</v>
      </c>
      <c r="B67" s="294">
        <v>0.104</v>
      </c>
      <c r="C67" s="307">
        <f aca="true" t="shared" si="21" ref="C67:N67">C17*$B67/100</f>
        <v>9216.222332673251</v>
      </c>
      <c r="D67" s="307">
        <f t="shared" si="21"/>
        <v>9273.626068007612</v>
      </c>
      <c r="E67" s="307">
        <f t="shared" si="21"/>
        <v>10323.788425426736</v>
      </c>
      <c r="F67" s="307">
        <f t="shared" si="21"/>
        <v>9594.10258252285</v>
      </c>
      <c r="G67" s="307">
        <f t="shared" si="21"/>
        <v>10303.278539302704</v>
      </c>
      <c r="H67" s="307">
        <f t="shared" si="21"/>
        <v>9309.456131710966</v>
      </c>
      <c r="I67" s="307">
        <f t="shared" si="21"/>
        <v>9710.738791007268</v>
      </c>
      <c r="J67" s="307">
        <f t="shared" si="21"/>
        <v>9914.881377470672</v>
      </c>
      <c r="K67" s="307">
        <f t="shared" si="21"/>
        <v>10270.741808420411</v>
      </c>
      <c r="L67" s="307">
        <f t="shared" si="21"/>
        <v>9660.629085518194</v>
      </c>
      <c r="M67" s="307">
        <f t="shared" si="21"/>
        <v>10432.507767314424</v>
      </c>
      <c r="N67" s="307">
        <f t="shared" si="21"/>
        <v>10497.8921864729</v>
      </c>
      <c r="O67" s="307">
        <f t="shared" si="10"/>
        <v>118507.969095848</v>
      </c>
    </row>
    <row r="68" spans="1:15" ht="12.75">
      <c r="A68" s="329" t="s">
        <v>63</v>
      </c>
      <c r="B68" s="294"/>
      <c r="C68" s="309">
        <f>SUM(C58:C67)</f>
        <v>1540155.1888865754</v>
      </c>
      <c r="D68" s="309">
        <f aca="true" t="shared" si="22" ref="D68:O68">SUM(D58:D67)</f>
        <v>1430350.322484155</v>
      </c>
      <c r="E68" s="309">
        <f t="shared" si="22"/>
        <v>1445391.546811667</v>
      </c>
      <c r="F68" s="309">
        <f t="shared" si="22"/>
        <v>1215628.17673131</v>
      </c>
      <c r="G68" s="309">
        <f t="shared" si="22"/>
        <v>1164961.8145519884</v>
      </c>
      <c r="H68" s="309">
        <f t="shared" si="22"/>
        <v>1043319.989486447</v>
      </c>
      <c r="I68" s="309">
        <f t="shared" si="22"/>
        <v>1066002.2031778654</v>
      </c>
      <c r="J68" s="309">
        <f t="shared" si="22"/>
        <v>1042869.2570406718</v>
      </c>
      <c r="K68" s="309">
        <f t="shared" si="22"/>
        <v>978065.8121373672</v>
      </c>
      <c r="L68" s="309">
        <f t="shared" si="22"/>
        <v>992378.0441400127</v>
      </c>
      <c r="M68" s="309">
        <f t="shared" si="22"/>
        <v>1096909.136789739</v>
      </c>
      <c r="N68" s="309">
        <f t="shared" si="22"/>
        <v>1336511.6424748623</v>
      </c>
      <c r="O68" s="309">
        <f t="shared" si="22"/>
        <v>14352544.30671266</v>
      </c>
    </row>
    <row r="69" spans="1:15" ht="12.75">
      <c r="A69" s="290"/>
      <c r="B69" s="294"/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0"/>
    </row>
    <row r="70" spans="1:15" ht="12.75">
      <c r="A70" s="278" t="s">
        <v>130</v>
      </c>
      <c r="B70" s="294"/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</row>
    <row r="71" spans="1:15" ht="12.75">
      <c r="A71" s="290" t="s">
        <v>108</v>
      </c>
      <c r="B71" s="294">
        <v>0.091</v>
      </c>
      <c r="C71" s="550">
        <f>C21*$B71/100</f>
        <v>14103.18</v>
      </c>
      <c r="D71" s="550">
        <f aca="true" t="shared" si="23" ref="D71:N71">D21*$B71/100</f>
        <v>11351.34</v>
      </c>
      <c r="E71" s="550">
        <f t="shared" si="23"/>
        <v>14064.96</v>
      </c>
      <c r="F71" s="550">
        <f t="shared" si="23"/>
        <v>13185.9</v>
      </c>
      <c r="G71" s="550">
        <f t="shared" si="23"/>
        <v>14103.18</v>
      </c>
      <c r="H71" s="550">
        <f t="shared" si="23"/>
        <v>13185.9</v>
      </c>
      <c r="I71" s="550">
        <f t="shared" si="23"/>
        <v>14103.18</v>
      </c>
      <c r="J71" s="550">
        <f t="shared" si="23"/>
        <v>14103.18</v>
      </c>
      <c r="K71" s="550">
        <f t="shared" si="23"/>
        <v>13185.9</v>
      </c>
      <c r="L71" s="550">
        <f t="shared" si="23"/>
        <v>14103.18</v>
      </c>
      <c r="M71" s="550">
        <f t="shared" si="23"/>
        <v>13185.9</v>
      </c>
      <c r="N71" s="550">
        <f t="shared" si="23"/>
        <v>14103.18</v>
      </c>
      <c r="O71" s="550">
        <f>SUM(B71:N71)</f>
        <v>162779.07099999997</v>
      </c>
    </row>
    <row r="72" spans="1:15" ht="12.75">
      <c r="A72" s="290" t="s">
        <v>151</v>
      </c>
      <c r="B72" s="294">
        <v>0.091</v>
      </c>
      <c r="C72" s="307">
        <f>C24*$B72/100</f>
        <v>0</v>
      </c>
      <c r="D72" s="307">
        <f aca="true" t="shared" si="24" ref="D72:N72">D24*$B72/100</f>
        <v>0</v>
      </c>
      <c r="E72" s="307">
        <f t="shared" si="24"/>
        <v>0</v>
      </c>
      <c r="F72" s="307">
        <f t="shared" si="24"/>
        <v>0</v>
      </c>
      <c r="G72" s="307">
        <f t="shared" si="24"/>
        <v>0</v>
      </c>
      <c r="H72" s="307">
        <f t="shared" si="24"/>
        <v>0</v>
      </c>
      <c r="I72" s="307">
        <f t="shared" si="24"/>
        <v>0</v>
      </c>
      <c r="J72" s="307">
        <f t="shared" si="24"/>
        <v>0</v>
      </c>
      <c r="K72" s="307">
        <f t="shared" si="24"/>
        <v>0</v>
      </c>
      <c r="L72" s="307">
        <f t="shared" si="24"/>
        <v>0</v>
      </c>
      <c r="M72" s="307">
        <f t="shared" si="24"/>
        <v>0</v>
      </c>
      <c r="N72" s="307">
        <f t="shared" si="24"/>
        <v>0</v>
      </c>
      <c r="O72" s="307">
        <f>SUM(B72:N72)</f>
        <v>0.091</v>
      </c>
    </row>
    <row r="73" spans="1:15" ht="12.75">
      <c r="A73" s="290" t="s">
        <v>161</v>
      </c>
      <c r="B73" s="290"/>
      <c r="C73" s="309">
        <f aca="true" t="shared" si="25" ref="C73:O73">SUM(C71:C72)</f>
        <v>14103.18</v>
      </c>
      <c r="D73" s="309">
        <f t="shared" si="25"/>
        <v>11351.34</v>
      </c>
      <c r="E73" s="309">
        <f t="shared" si="25"/>
        <v>14064.96</v>
      </c>
      <c r="F73" s="309">
        <f t="shared" si="25"/>
        <v>13185.9</v>
      </c>
      <c r="G73" s="309">
        <f t="shared" si="25"/>
        <v>14103.18</v>
      </c>
      <c r="H73" s="309">
        <f t="shared" si="25"/>
        <v>13185.9</v>
      </c>
      <c r="I73" s="309">
        <f t="shared" si="25"/>
        <v>14103.18</v>
      </c>
      <c r="J73" s="309">
        <f t="shared" si="25"/>
        <v>14103.18</v>
      </c>
      <c r="K73" s="309">
        <f t="shared" si="25"/>
        <v>13185.9</v>
      </c>
      <c r="L73" s="309">
        <f t="shared" si="25"/>
        <v>14103.18</v>
      </c>
      <c r="M73" s="309">
        <f t="shared" si="25"/>
        <v>13185.9</v>
      </c>
      <c r="N73" s="309">
        <f t="shared" si="25"/>
        <v>14103.18</v>
      </c>
      <c r="O73" s="309">
        <f t="shared" si="25"/>
        <v>162779.16199999995</v>
      </c>
    </row>
    <row r="74" spans="1:15" ht="12.75">
      <c r="A74" s="290"/>
      <c r="B74" s="290"/>
      <c r="C74" s="550"/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550"/>
      <c r="O74" s="550">
        <f>SUM(C74:N74)</f>
        <v>0</v>
      </c>
    </row>
    <row r="75" spans="1:15" ht="12.75">
      <c r="A75" s="290" t="s">
        <v>49</v>
      </c>
      <c r="B75" s="290"/>
      <c r="C75" s="309">
        <f aca="true" t="shared" si="26" ref="C75:O75">C73+C68</f>
        <v>1554258.3688865753</v>
      </c>
      <c r="D75" s="309">
        <f t="shared" si="26"/>
        <v>1441701.662484155</v>
      </c>
      <c r="E75" s="309">
        <f t="shared" si="26"/>
        <v>1459456.506811667</v>
      </c>
      <c r="F75" s="309">
        <f t="shared" si="26"/>
        <v>1228814.07673131</v>
      </c>
      <c r="G75" s="309">
        <f t="shared" si="26"/>
        <v>1179064.9945519883</v>
      </c>
      <c r="H75" s="309">
        <f t="shared" si="26"/>
        <v>1056505.889486447</v>
      </c>
      <c r="I75" s="309">
        <f t="shared" si="26"/>
        <v>1080105.3831778653</v>
      </c>
      <c r="J75" s="309">
        <f t="shared" si="26"/>
        <v>1056972.4370406717</v>
      </c>
      <c r="K75" s="309">
        <f t="shared" si="26"/>
        <v>991251.7121373672</v>
      </c>
      <c r="L75" s="309">
        <f t="shared" si="26"/>
        <v>1006481.2241400128</v>
      </c>
      <c r="M75" s="309">
        <f t="shared" si="26"/>
        <v>1110095.0367897388</v>
      </c>
      <c r="N75" s="309">
        <f t="shared" si="26"/>
        <v>1350614.8224748622</v>
      </c>
      <c r="O75" s="309">
        <f t="shared" si="26"/>
        <v>14515323.46871266</v>
      </c>
    </row>
    <row r="76" spans="1:16" ht="12.75">
      <c r="A76" s="278" t="s">
        <v>157</v>
      </c>
      <c r="B76" s="278"/>
      <c r="C76" s="290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296"/>
    </row>
    <row r="77" spans="1:16" ht="12.75">
      <c r="A77" s="290"/>
      <c r="B77" s="290"/>
      <c r="C77" s="290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296"/>
    </row>
    <row r="78" spans="1:16" ht="12.75">
      <c r="A78" s="278" t="s">
        <v>43</v>
      </c>
      <c r="B78" s="278"/>
      <c r="C78" s="290"/>
      <c r="D78" s="551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296"/>
    </row>
    <row r="79" spans="1:15" ht="12.75">
      <c r="A79" s="547" t="s">
        <v>135</v>
      </c>
      <c r="B79" s="547"/>
      <c r="C79" s="550">
        <f aca="true" t="shared" si="27" ref="C79:N79">+C35-C58</f>
        <v>0</v>
      </c>
      <c r="D79" s="550">
        <f t="shared" si="27"/>
        <v>0</v>
      </c>
      <c r="E79" s="550">
        <f t="shared" si="27"/>
        <v>0</v>
      </c>
      <c r="F79" s="550">
        <f t="shared" si="27"/>
        <v>0</v>
      </c>
      <c r="G79" s="550">
        <f t="shared" si="27"/>
        <v>0</v>
      </c>
      <c r="H79" s="550">
        <f t="shared" si="27"/>
        <v>0</v>
      </c>
      <c r="I79" s="550">
        <f t="shared" si="27"/>
        <v>0</v>
      </c>
      <c r="J79" s="550">
        <f t="shared" si="27"/>
        <v>0</v>
      </c>
      <c r="K79" s="550">
        <f t="shared" si="27"/>
        <v>0</v>
      </c>
      <c r="L79" s="550">
        <f t="shared" si="27"/>
        <v>0</v>
      </c>
      <c r="M79" s="550">
        <f t="shared" si="27"/>
        <v>0</v>
      </c>
      <c r="N79" s="550">
        <f t="shared" si="27"/>
        <v>0</v>
      </c>
      <c r="O79" s="550">
        <f>SUM(C79:N79)</f>
        <v>0</v>
      </c>
    </row>
    <row r="80" spans="1:15" ht="12.75">
      <c r="A80" s="290" t="s">
        <v>52</v>
      </c>
      <c r="B80" s="290"/>
      <c r="C80" s="550">
        <f aca="true" t="shared" si="28" ref="C80:N80">+C36-C59</f>
        <v>6.548361852765083E-11</v>
      </c>
      <c r="D80" s="550">
        <f t="shared" si="28"/>
        <v>0</v>
      </c>
      <c r="E80" s="550">
        <f t="shared" si="28"/>
        <v>0</v>
      </c>
      <c r="F80" s="550">
        <f t="shared" si="28"/>
        <v>0</v>
      </c>
      <c r="G80" s="550">
        <f t="shared" si="28"/>
        <v>0</v>
      </c>
      <c r="H80" s="550">
        <f t="shared" si="28"/>
        <v>0</v>
      </c>
      <c r="I80" s="550">
        <f t="shared" si="28"/>
        <v>0</v>
      </c>
      <c r="J80" s="550">
        <f t="shared" si="28"/>
        <v>0</v>
      </c>
      <c r="K80" s="550">
        <f t="shared" si="28"/>
        <v>0</v>
      </c>
      <c r="L80" s="550">
        <f t="shared" si="28"/>
        <v>0</v>
      </c>
      <c r="M80" s="550">
        <f t="shared" si="28"/>
        <v>0</v>
      </c>
      <c r="N80" s="550">
        <f t="shared" si="28"/>
        <v>0</v>
      </c>
      <c r="O80" s="550">
        <f aca="true" t="shared" si="29" ref="O80:O88">SUM(C80:N80)</f>
        <v>6.548361852765083E-11</v>
      </c>
    </row>
    <row r="81" spans="1:15" ht="12.75">
      <c r="A81" s="290" t="s">
        <v>53</v>
      </c>
      <c r="B81" s="290"/>
      <c r="C81" s="550">
        <f aca="true" t="shared" si="30" ref="C81:N81">+C37-C60</f>
        <v>0</v>
      </c>
      <c r="D81" s="550">
        <f t="shared" si="30"/>
        <v>0</v>
      </c>
      <c r="E81" s="550">
        <f t="shared" si="30"/>
        <v>0</v>
      </c>
      <c r="F81" s="550">
        <f t="shared" si="30"/>
        <v>0</v>
      </c>
      <c r="G81" s="550">
        <f t="shared" si="30"/>
        <v>0</v>
      </c>
      <c r="H81" s="550">
        <f t="shared" si="30"/>
        <v>0</v>
      </c>
      <c r="I81" s="550">
        <f t="shared" si="30"/>
        <v>0</v>
      </c>
      <c r="J81" s="550">
        <f t="shared" si="30"/>
        <v>0</v>
      </c>
      <c r="K81" s="550">
        <f t="shared" si="30"/>
        <v>0</v>
      </c>
      <c r="L81" s="550">
        <f t="shared" si="30"/>
        <v>0</v>
      </c>
      <c r="M81" s="550">
        <f t="shared" si="30"/>
        <v>0</v>
      </c>
      <c r="N81" s="550">
        <f t="shared" si="30"/>
        <v>0</v>
      </c>
      <c r="O81" s="550">
        <f t="shared" si="29"/>
        <v>0</v>
      </c>
    </row>
    <row r="82" spans="1:15" ht="12.75">
      <c r="A82" s="290" t="s">
        <v>54</v>
      </c>
      <c r="B82" s="290"/>
      <c r="C82" s="550">
        <f aca="true" t="shared" si="31" ref="C82:N82">+C38-C61</f>
        <v>0</v>
      </c>
      <c r="D82" s="550">
        <f t="shared" si="31"/>
        <v>0</v>
      </c>
      <c r="E82" s="550">
        <f t="shared" si="31"/>
        <v>0</v>
      </c>
      <c r="F82" s="550">
        <f t="shared" si="31"/>
        <v>0</v>
      </c>
      <c r="G82" s="550">
        <f t="shared" si="31"/>
        <v>0</v>
      </c>
      <c r="H82" s="550">
        <f t="shared" si="31"/>
        <v>0</v>
      </c>
      <c r="I82" s="550">
        <f t="shared" si="31"/>
        <v>0</v>
      </c>
      <c r="J82" s="550">
        <f t="shared" si="31"/>
        <v>0</v>
      </c>
      <c r="K82" s="550">
        <f t="shared" si="31"/>
        <v>0</v>
      </c>
      <c r="L82" s="550">
        <f t="shared" si="31"/>
        <v>0</v>
      </c>
      <c r="M82" s="550">
        <f t="shared" si="31"/>
        <v>0</v>
      </c>
      <c r="N82" s="550">
        <f t="shared" si="31"/>
        <v>0</v>
      </c>
      <c r="O82" s="550">
        <f t="shared" si="29"/>
        <v>0</v>
      </c>
    </row>
    <row r="83" spans="1:15" ht="12.75">
      <c r="A83" s="290" t="s">
        <v>55</v>
      </c>
      <c r="B83" s="290"/>
      <c r="C83" s="550">
        <f aca="true" t="shared" si="32" ref="C83:N83">+C39-C62</f>
        <v>0</v>
      </c>
      <c r="D83" s="550">
        <f t="shared" si="32"/>
        <v>0</v>
      </c>
      <c r="E83" s="550">
        <f t="shared" si="32"/>
        <v>0</v>
      </c>
      <c r="F83" s="550">
        <f t="shared" si="32"/>
        <v>0</v>
      </c>
      <c r="G83" s="550">
        <f t="shared" si="32"/>
        <v>0</v>
      </c>
      <c r="H83" s="550">
        <f t="shared" si="32"/>
        <v>0</v>
      </c>
      <c r="I83" s="550">
        <f t="shared" si="32"/>
        <v>0</v>
      </c>
      <c r="J83" s="550">
        <f t="shared" si="32"/>
        <v>0</v>
      </c>
      <c r="K83" s="550">
        <f t="shared" si="32"/>
        <v>0</v>
      </c>
      <c r="L83" s="550">
        <f t="shared" si="32"/>
        <v>0</v>
      </c>
      <c r="M83" s="550">
        <f t="shared" si="32"/>
        <v>0</v>
      </c>
      <c r="N83" s="550">
        <f t="shared" si="32"/>
        <v>0</v>
      </c>
      <c r="O83" s="550">
        <f t="shared" si="29"/>
        <v>0</v>
      </c>
    </row>
    <row r="84" spans="1:15" ht="12.75">
      <c r="A84" s="290" t="s">
        <v>56</v>
      </c>
      <c r="B84" s="290"/>
      <c r="C84" s="550">
        <f aca="true" t="shared" si="33" ref="C84:N84">+C40-C63</f>
        <v>0</v>
      </c>
      <c r="D84" s="550">
        <f t="shared" si="33"/>
        <v>0</v>
      </c>
      <c r="E84" s="550">
        <f t="shared" si="33"/>
        <v>0</v>
      </c>
      <c r="F84" s="550">
        <f t="shared" si="33"/>
        <v>0</v>
      </c>
      <c r="G84" s="550">
        <f t="shared" si="33"/>
        <v>0</v>
      </c>
      <c r="H84" s="550">
        <f t="shared" si="33"/>
        <v>0</v>
      </c>
      <c r="I84" s="550">
        <f t="shared" si="33"/>
        <v>0</v>
      </c>
      <c r="J84" s="550">
        <f t="shared" si="33"/>
        <v>0</v>
      </c>
      <c r="K84" s="550">
        <f t="shared" si="33"/>
        <v>0</v>
      </c>
      <c r="L84" s="550">
        <f t="shared" si="33"/>
        <v>0</v>
      </c>
      <c r="M84" s="550">
        <f t="shared" si="33"/>
        <v>0</v>
      </c>
      <c r="N84" s="550">
        <f t="shared" si="33"/>
        <v>0</v>
      </c>
      <c r="O84" s="550">
        <f t="shared" si="29"/>
        <v>0</v>
      </c>
    </row>
    <row r="85" spans="1:15" ht="12.75">
      <c r="A85" s="290" t="s">
        <v>57</v>
      </c>
      <c r="B85" s="290"/>
      <c r="C85" s="550">
        <f aca="true" t="shared" si="34" ref="C85:N85">+C41-C64</f>
        <v>0</v>
      </c>
      <c r="D85" s="542">
        <f t="shared" si="34"/>
        <v>0</v>
      </c>
      <c r="E85" s="550">
        <f t="shared" si="34"/>
        <v>0</v>
      </c>
      <c r="F85" s="550">
        <f t="shared" si="34"/>
        <v>0</v>
      </c>
      <c r="G85" s="550">
        <f t="shared" si="34"/>
        <v>0</v>
      </c>
      <c r="H85" s="550">
        <f t="shared" si="34"/>
        <v>0</v>
      </c>
      <c r="I85" s="550">
        <f t="shared" si="34"/>
        <v>0</v>
      </c>
      <c r="J85" s="550">
        <f t="shared" si="34"/>
        <v>0</v>
      </c>
      <c r="K85" s="550">
        <f t="shared" si="34"/>
        <v>0</v>
      </c>
      <c r="L85" s="550">
        <f t="shared" si="34"/>
        <v>0</v>
      </c>
      <c r="M85" s="550">
        <f t="shared" si="34"/>
        <v>0</v>
      </c>
      <c r="N85" s="550">
        <f t="shared" si="34"/>
        <v>0</v>
      </c>
      <c r="O85" s="550">
        <f t="shared" si="29"/>
        <v>0</v>
      </c>
    </row>
    <row r="86" spans="1:15" ht="12.75">
      <c r="A86" s="290" t="s">
        <v>61</v>
      </c>
      <c r="B86" s="290"/>
      <c r="C86" s="550">
        <f aca="true" t="shared" si="35" ref="C86:N86">+C42-C65</f>
        <v>1118.9898899999826</v>
      </c>
      <c r="D86" s="552">
        <f t="shared" si="35"/>
        <v>-4392.353790000008</v>
      </c>
      <c r="E86" s="552">
        <f t="shared" si="35"/>
        <v>-7955.2084500000055</v>
      </c>
      <c r="F86" s="552">
        <f t="shared" si="35"/>
        <v>-10604.917709999994</v>
      </c>
      <c r="G86" s="552">
        <f t="shared" si="35"/>
        <v>-13866.103260000018</v>
      </c>
      <c r="H86" s="552">
        <f t="shared" si="35"/>
        <v>-1943.7399900000019</v>
      </c>
      <c r="I86" s="552">
        <f t="shared" si="35"/>
        <v>-14738.255370000028</v>
      </c>
      <c r="J86" s="552">
        <f t="shared" si="35"/>
        <v>-2488.02678</v>
      </c>
      <c r="K86" s="550">
        <f t="shared" si="35"/>
        <v>2280.9275999999954</v>
      </c>
      <c r="L86" s="550">
        <f t="shared" si="35"/>
        <v>146.4212699999989</v>
      </c>
      <c r="M86" s="550">
        <f t="shared" si="35"/>
        <v>0</v>
      </c>
      <c r="N86" s="550">
        <f t="shared" si="35"/>
        <v>0</v>
      </c>
      <c r="O86" s="552">
        <f t="shared" si="29"/>
        <v>-52442.26659000008</v>
      </c>
    </row>
    <row r="87" spans="1:15" ht="12.75">
      <c r="A87" s="290" t="s">
        <v>58</v>
      </c>
      <c r="B87" s="290"/>
      <c r="C87" s="550">
        <f aca="true" t="shared" si="36" ref="C87:N87">+C43-C66</f>
        <v>0</v>
      </c>
      <c r="D87" s="550">
        <f t="shared" si="36"/>
        <v>0</v>
      </c>
      <c r="E87" s="550">
        <f t="shared" si="36"/>
        <v>0</v>
      </c>
      <c r="F87" s="550">
        <f t="shared" si="36"/>
        <v>0</v>
      </c>
      <c r="G87" s="550">
        <f t="shared" si="36"/>
        <v>0</v>
      </c>
      <c r="H87" s="550">
        <f t="shared" si="36"/>
        <v>0</v>
      </c>
      <c r="I87" s="550">
        <f t="shared" si="36"/>
        <v>0</v>
      </c>
      <c r="J87" s="550">
        <f t="shared" si="36"/>
        <v>0</v>
      </c>
      <c r="K87" s="550">
        <f t="shared" si="36"/>
        <v>0</v>
      </c>
      <c r="L87" s="550">
        <f t="shared" si="36"/>
        <v>0</v>
      </c>
      <c r="M87" s="550">
        <f t="shared" si="36"/>
        <v>0</v>
      </c>
      <c r="N87" s="550">
        <f t="shared" si="36"/>
        <v>0</v>
      </c>
      <c r="O87" s="550">
        <f t="shared" si="29"/>
        <v>0</v>
      </c>
    </row>
    <row r="88" spans="1:15" ht="12.75">
      <c r="A88" s="290" t="s">
        <v>59</v>
      </c>
      <c r="B88" s="290"/>
      <c r="C88" s="307">
        <f aca="true" t="shared" si="37" ref="C88:N88">+C44-C67</f>
        <v>0</v>
      </c>
      <c r="D88" s="307">
        <f t="shared" si="37"/>
        <v>0</v>
      </c>
      <c r="E88" s="307">
        <f t="shared" si="37"/>
        <v>0</v>
      </c>
      <c r="F88" s="307">
        <f t="shared" si="37"/>
        <v>0</v>
      </c>
      <c r="G88" s="307">
        <f t="shared" si="37"/>
        <v>0</v>
      </c>
      <c r="H88" s="307">
        <f t="shared" si="37"/>
        <v>0</v>
      </c>
      <c r="I88" s="307">
        <f t="shared" si="37"/>
        <v>0</v>
      </c>
      <c r="J88" s="307">
        <f t="shared" si="37"/>
        <v>0</v>
      </c>
      <c r="K88" s="307">
        <f t="shared" si="37"/>
        <v>0</v>
      </c>
      <c r="L88" s="307">
        <f t="shared" si="37"/>
        <v>0</v>
      </c>
      <c r="M88" s="307">
        <f t="shared" si="37"/>
        <v>0</v>
      </c>
      <c r="N88" s="307">
        <f t="shared" si="37"/>
        <v>0</v>
      </c>
      <c r="O88" s="307">
        <f t="shared" si="29"/>
        <v>0</v>
      </c>
    </row>
    <row r="89" spans="1:15" ht="12.75">
      <c r="A89" s="278" t="s">
        <v>63</v>
      </c>
      <c r="B89" s="290"/>
      <c r="C89" s="310">
        <f>SUM(C79:C88)</f>
        <v>1118.989890000048</v>
      </c>
      <c r="D89" s="481">
        <f aca="true" t="shared" si="38" ref="D89:N89">SUM(D79:D88)</f>
        <v>-4392.353790000008</v>
      </c>
      <c r="E89" s="481">
        <f t="shared" si="38"/>
        <v>-7955.2084500000055</v>
      </c>
      <c r="F89" s="481">
        <f t="shared" si="38"/>
        <v>-10604.917709999994</v>
      </c>
      <c r="G89" s="481">
        <f t="shared" si="38"/>
        <v>-13866.103260000018</v>
      </c>
      <c r="H89" s="481">
        <f t="shared" si="38"/>
        <v>-1943.7399900000019</v>
      </c>
      <c r="I89" s="481">
        <f t="shared" si="38"/>
        <v>-14738.255370000028</v>
      </c>
      <c r="J89" s="481">
        <f t="shared" si="38"/>
        <v>-2488.02678</v>
      </c>
      <c r="K89" s="310">
        <f t="shared" si="38"/>
        <v>2280.9275999999954</v>
      </c>
      <c r="L89" s="310">
        <f t="shared" si="38"/>
        <v>146.4212699999989</v>
      </c>
      <c r="M89" s="310">
        <f t="shared" si="38"/>
        <v>0</v>
      </c>
      <c r="N89" s="310">
        <f t="shared" si="38"/>
        <v>0</v>
      </c>
      <c r="O89" s="310">
        <f>SUM(O79:O88)</f>
        <v>-52442.266590000014</v>
      </c>
    </row>
    <row r="90" spans="1:15" ht="12.75">
      <c r="A90" s="290"/>
      <c r="B90" s="290"/>
      <c r="C90" s="550"/>
      <c r="D90" s="550"/>
      <c r="E90" s="550"/>
      <c r="F90" s="550"/>
      <c r="G90" s="550"/>
      <c r="H90" s="550"/>
      <c r="I90" s="550"/>
      <c r="J90" s="550"/>
      <c r="K90" s="550"/>
      <c r="L90" s="550"/>
      <c r="M90" s="550"/>
      <c r="N90" s="550"/>
      <c r="O90" s="550"/>
    </row>
    <row r="91" spans="1:15" ht="12.75">
      <c r="A91" s="278" t="s">
        <v>130</v>
      </c>
      <c r="B91" s="278"/>
      <c r="C91" s="550"/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</row>
    <row r="92" spans="1:15" ht="12.75">
      <c r="A92" s="290" t="s">
        <v>108</v>
      </c>
      <c r="B92" s="290"/>
      <c r="C92" s="550">
        <f aca="true" t="shared" si="39" ref="C92:N92">+C47-C71</f>
        <v>0</v>
      </c>
      <c r="D92" s="550">
        <f t="shared" si="39"/>
        <v>0</v>
      </c>
      <c r="E92" s="550">
        <f t="shared" si="39"/>
        <v>0</v>
      </c>
      <c r="F92" s="550">
        <f t="shared" si="39"/>
        <v>0</v>
      </c>
      <c r="G92" s="550">
        <f t="shared" si="39"/>
        <v>0</v>
      </c>
      <c r="H92" s="550">
        <f t="shared" si="39"/>
        <v>0</v>
      </c>
      <c r="I92" s="550">
        <f t="shared" si="39"/>
        <v>0</v>
      </c>
      <c r="J92" s="550">
        <f t="shared" si="39"/>
        <v>0</v>
      </c>
      <c r="K92" s="550">
        <f t="shared" si="39"/>
        <v>0</v>
      </c>
      <c r="L92" s="550">
        <f t="shared" si="39"/>
        <v>0</v>
      </c>
      <c r="M92" s="550">
        <f t="shared" si="39"/>
        <v>0</v>
      </c>
      <c r="N92" s="550">
        <f t="shared" si="39"/>
        <v>0</v>
      </c>
      <c r="O92" s="550">
        <f>SUM(C92:N92)</f>
        <v>0</v>
      </c>
    </row>
    <row r="93" spans="1:15" ht="12.75">
      <c r="A93" s="290" t="s">
        <v>151</v>
      </c>
      <c r="B93" s="290"/>
      <c r="C93" s="307">
        <f aca="true" t="shared" si="40" ref="C93:N93">+C48-C72</f>
        <v>0</v>
      </c>
      <c r="D93" s="307">
        <f t="shared" si="40"/>
        <v>0</v>
      </c>
      <c r="E93" s="307">
        <f t="shared" si="40"/>
        <v>0</v>
      </c>
      <c r="F93" s="307">
        <f t="shared" si="40"/>
        <v>0</v>
      </c>
      <c r="G93" s="307">
        <f t="shared" si="40"/>
        <v>0</v>
      </c>
      <c r="H93" s="307">
        <f t="shared" si="40"/>
        <v>0</v>
      </c>
      <c r="I93" s="307">
        <f t="shared" si="40"/>
        <v>0</v>
      </c>
      <c r="J93" s="307">
        <f t="shared" si="40"/>
        <v>0</v>
      </c>
      <c r="K93" s="307">
        <f t="shared" si="40"/>
        <v>0</v>
      </c>
      <c r="L93" s="307">
        <f t="shared" si="40"/>
        <v>0</v>
      </c>
      <c r="M93" s="307">
        <f t="shared" si="40"/>
        <v>0</v>
      </c>
      <c r="N93" s="307">
        <f t="shared" si="40"/>
        <v>0</v>
      </c>
      <c r="O93" s="307">
        <f>SUM(C93:N93)</f>
        <v>0</v>
      </c>
    </row>
    <row r="94" spans="1:15" ht="12.75">
      <c r="A94" s="290" t="s">
        <v>161</v>
      </c>
      <c r="B94" s="290"/>
      <c r="C94" s="310">
        <f>SUM(C92:C93)</f>
        <v>0</v>
      </c>
      <c r="D94" s="310">
        <f aca="true" t="shared" si="41" ref="D94:N94">SUM(D92:D93)</f>
        <v>0</v>
      </c>
      <c r="E94" s="310">
        <f t="shared" si="41"/>
        <v>0</v>
      </c>
      <c r="F94" s="310">
        <f t="shared" si="41"/>
        <v>0</v>
      </c>
      <c r="G94" s="310">
        <f t="shared" si="41"/>
        <v>0</v>
      </c>
      <c r="H94" s="310">
        <f t="shared" si="41"/>
        <v>0</v>
      </c>
      <c r="I94" s="310">
        <f t="shared" si="41"/>
        <v>0</v>
      </c>
      <c r="J94" s="310">
        <f t="shared" si="41"/>
        <v>0</v>
      </c>
      <c r="K94" s="310">
        <f t="shared" si="41"/>
        <v>0</v>
      </c>
      <c r="L94" s="310">
        <f t="shared" si="41"/>
        <v>0</v>
      </c>
      <c r="M94" s="310">
        <f t="shared" si="41"/>
        <v>0</v>
      </c>
      <c r="N94" s="310">
        <f t="shared" si="41"/>
        <v>0</v>
      </c>
      <c r="O94" s="310">
        <f>SUM(O92:O93)</f>
        <v>0</v>
      </c>
    </row>
    <row r="95" spans="1:15" ht="12.75">
      <c r="A95" s="290"/>
      <c r="B95" s="290"/>
      <c r="C95" s="550"/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</row>
    <row r="96" spans="1:15" ht="12.75">
      <c r="A96" s="290" t="s">
        <v>49</v>
      </c>
      <c r="B96" s="290"/>
      <c r="C96" s="310">
        <f>C89+C94</f>
        <v>1118.989890000048</v>
      </c>
      <c r="D96" s="310">
        <f aca="true" t="shared" si="42" ref="D96:O96">D89+D94</f>
        <v>-4392.353790000008</v>
      </c>
      <c r="E96" s="310">
        <f t="shared" si="42"/>
        <v>-7955.2084500000055</v>
      </c>
      <c r="F96" s="310">
        <f t="shared" si="42"/>
        <v>-10604.917709999994</v>
      </c>
      <c r="G96" s="310">
        <f t="shared" si="42"/>
        <v>-13866.103260000018</v>
      </c>
      <c r="H96" s="310">
        <f t="shared" si="42"/>
        <v>-1943.7399900000019</v>
      </c>
      <c r="I96" s="310">
        <f t="shared" si="42"/>
        <v>-14738.255370000028</v>
      </c>
      <c r="J96" s="310">
        <f t="shared" si="42"/>
        <v>-2488.02678</v>
      </c>
      <c r="K96" s="310">
        <f t="shared" si="42"/>
        <v>2280.9275999999954</v>
      </c>
      <c r="L96" s="310">
        <f t="shared" si="42"/>
        <v>146.4212699999989</v>
      </c>
      <c r="M96" s="310">
        <f t="shared" si="42"/>
        <v>0</v>
      </c>
      <c r="N96" s="310">
        <f t="shared" si="42"/>
        <v>0</v>
      </c>
      <c r="O96" s="310">
        <f t="shared" si="42"/>
        <v>-52442.266590000014</v>
      </c>
    </row>
    <row r="97" spans="1:15" ht="12.75">
      <c r="A97" s="543"/>
      <c r="B97" s="543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543"/>
      <c r="O97" s="543"/>
    </row>
    <row r="98" spans="1:15" ht="15.75">
      <c r="A98" s="291" t="s">
        <v>283</v>
      </c>
      <c r="B98" s="290"/>
      <c r="C98" s="543"/>
      <c r="D98" s="543"/>
      <c r="E98" s="543"/>
      <c r="F98" s="543"/>
      <c r="G98" s="543"/>
      <c r="H98" s="543"/>
      <c r="I98" s="543"/>
      <c r="J98" s="543"/>
      <c r="K98" s="543"/>
      <c r="L98" s="543"/>
      <c r="M98" s="543"/>
      <c r="N98" s="543"/>
      <c r="O98" s="543"/>
    </row>
    <row r="99" spans="1:15" ht="12.75">
      <c r="A99" s="290" t="s">
        <v>284</v>
      </c>
      <c r="B99" s="318">
        <v>0.07870091037018022</v>
      </c>
      <c r="C99" s="543"/>
      <c r="D99" s="543"/>
      <c r="E99" s="543"/>
      <c r="F99" s="543"/>
      <c r="G99" s="543"/>
      <c r="H99" s="543"/>
      <c r="I99" s="543"/>
      <c r="J99" s="543"/>
      <c r="K99" s="543"/>
      <c r="L99" s="543"/>
      <c r="M99" s="543"/>
      <c r="N99" s="543"/>
      <c r="O99" s="543"/>
    </row>
    <row r="100" spans="1:15" ht="12.75">
      <c r="A100" s="290"/>
      <c r="B100" s="318"/>
      <c r="C100" s="543"/>
      <c r="D100" s="543"/>
      <c r="E100" s="543"/>
      <c r="F100" s="543"/>
      <c r="G100" s="543"/>
      <c r="H100" s="543"/>
      <c r="I100" s="543"/>
      <c r="J100" s="543"/>
      <c r="K100" s="543"/>
      <c r="L100" s="543"/>
      <c r="M100" s="543"/>
      <c r="N100" s="543"/>
      <c r="O100" s="543"/>
    </row>
    <row r="101" spans="1:16" ht="12.75">
      <c r="A101" s="278" t="s">
        <v>287</v>
      </c>
      <c r="B101" s="290"/>
      <c r="C101" s="543"/>
      <c r="D101" s="543"/>
      <c r="E101" s="543"/>
      <c r="F101" s="543"/>
      <c r="G101" s="543"/>
      <c r="H101" s="543"/>
      <c r="I101" s="543"/>
      <c r="J101" s="543"/>
      <c r="K101" s="543"/>
      <c r="L101" s="543"/>
      <c r="M101" s="543"/>
      <c r="N101" s="543"/>
      <c r="O101" s="543"/>
      <c r="P101" s="281"/>
    </row>
    <row r="102" spans="1:16" ht="5.25" customHeight="1">
      <c r="A102" s="278"/>
      <c r="B102" s="290"/>
      <c r="C102" s="543"/>
      <c r="D102" s="543"/>
      <c r="E102" s="543"/>
      <c r="F102" s="543"/>
      <c r="G102" s="543"/>
      <c r="H102" s="543"/>
      <c r="I102" s="543"/>
      <c r="J102" s="543"/>
      <c r="K102" s="543"/>
      <c r="L102" s="543"/>
      <c r="M102" s="543"/>
      <c r="N102" s="543"/>
      <c r="O102" s="543"/>
      <c r="P102" s="281"/>
    </row>
    <row r="103" spans="1:16" ht="12.75">
      <c r="A103" s="278" t="s">
        <v>43</v>
      </c>
      <c r="B103" s="278"/>
      <c r="C103" s="543"/>
      <c r="D103" s="543"/>
      <c r="E103" s="543"/>
      <c r="F103" s="543"/>
      <c r="G103" s="543"/>
      <c r="H103" s="543"/>
      <c r="I103" s="543"/>
      <c r="J103" s="543"/>
      <c r="K103" s="543"/>
      <c r="L103" s="543"/>
      <c r="M103" s="543"/>
      <c r="N103" s="543"/>
      <c r="O103" s="543"/>
      <c r="P103" s="281"/>
    </row>
    <row r="104" spans="1:16" ht="12.75">
      <c r="A104" s="547" t="s">
        <v>133</v>
      </c>
      <c r="B104" s="292">
        <f>'AA Calculation'!V16</f>
        <v>0.28</v>
      </c>
      <c r="C104" s="550">
        <f aca="true" t="shared" si="43" ref="C104:N104">C6*$B104/100</f>
        <v>1376472.554800001</v>
      </c>
      <c r="D104" s="550">
        <f t="shared" si="43"/>
        <v>1252263.7932000002</v>
      </c>
      <c r="E104" s="550">
        <f t="shared" si="43"/>
        <v>1216834.0633857197</v>
      </c>
      <c r="F104" s="550">
        <f t="shared" si="43"/>
        <v>959925.9954957275</v>
      </c>
      <c r="G104" s="550">
        <f t="shared" si="43"/>
        <v>890245.3356289177</v>
      </c>
      <c r="H104" s="550">
        <f t="shared" si="43"/>
        <v>734649.8814751552</v>
      </c>
      <c r="I104" s="550">
        <f t="shared" si="43"/>
        <v>716314.2125555408</v>
      </c>
      <c r="J104" s="550">
        <f t="shared" si="43"/>
        <v>716991.7079392989</v>
      </c>
      <c r="K104" s="550">
        <f t="shared" si="43"/>
        <v>720232.620966243</v>
      </c>
      <c r="L104" s="550">
        <f t="shared" si="43"/>
        <v>800165.2680325084</v>
      </c>
      <c r="M104" s="550">
        <f t="shared" si="43"/>
        <v>929523.8806482749</v>
      </c>
      <c r="N104" s="550">
        <f t="shared" si="43"/>
        <v>1215189.4710364484</v>
      </c>
      <c r="O104" s="550">
        <f>SUM(B104:N104)</f>
        <v>11528809.065163836</v>
      </c>
      <c r="P104" s="281"/>
    </row>
    <row r="105" spans="1:16" ht="12.75">
      <c r="A105" s="547" t="s">
        <v>134</v>
      </c>
      <c r="B105" s="292">
        <f>B104</f>
        <v>0.28</v>
      </c>
      <c r="C105" s="307">
        <f aca="true" t="shared" si="44" ref="C105:N105">C7*$B105/100</f>
        <v>68689.52396489862</v>
      </c>
      <c r="D105" s="307">
        <f t="shared" si="44"/>
        <v>66030.57648963487</v>
      </c>
      <c r="E105" s="307">
        <f t="shared" si="44"/>
        <v>65918.17141619646</v>
      </c>
      <c r="F105" s="307">
        <f t="shared" si="44"/>
        <v>53349.32736817155</v>
      </c>
      <c r="G105" s="307">
        <f t="shared" si="44"/>
        <v>37980.205240058254</v>
      </c>
      <c r="H105" s="307">
        <f t="shared" si="44"/>
        <v>25595.010008428882</v>
      </c>
      <c r="I105" s="307">
        <f t="shared" si="44"/>
        <v>20338.563469194654</v>
      </c>
      <c r="J105" s="307">
        <f t="shared" si="44"/>
        <v>20836.17786851429</v>
      </c>
      <c r="K105" s="307">
        <f t="shared" si="44"/>
        <v>23316.63900253621</v>
      </c>
      <c r="L105" s="307">
        <f t="shared" si="44"/>
        <v>31434.75090017756</v>
      </c>
      <c r="M105" s="307">
        <f t="shared" si="44"/>
        <v>47874.80856972362</v>
      </c>
      <c r="N105" s="307">
        <f t="shared" si="44"/>
        <v>82719.1781038588</v>
      </c>
      <c r="O105" s="307">
        <f aca="true" t="shared" si="45" ref="O105:O120">SUM(B105:N105)</f>
        <v>544083.2124013937</v>
      </c>
      <c r="P105" s="281"/>
    </row>
    <row r="106" spans="1:16" ht="12.75">
      <c r="A106" s="547" t="s">
        <v>135</v>
      </c>
      <c r="B106" s="292"/>
      <c r="C106" s="310">
        <f>SUM(C104:C105)</f>
        <v>1445162.0787648996</v>
      </c>
      <c r="D106" s="310">
        <f aca="true" t="shared" si="46" ref="D106:N106">SUM(D104:D105)</f>
        <v>1318294.369689635</v>
      </c>
      <c r="E106" s="310">
        <f t="shared" si="46"/>
        <v>1282752.2348019162</v>
      </c>
      <c r="F106" s="310">
        <f t="shared" si="46"/>
        <v>1013275.322863899</v>
      </c>
      <c r="G106" s="310">
        <f t="shared" si="46"/>
        <v>928225.5408689759</v>
      </c>
      <c r="H106" s="310">
        <f t="shared" si="46"/>
        <v>760244.8914835841</v>
      </c>
      <c r="I106" s="310">
        <f t="shared" si="46"/>
        <v>736652.7760247355</v>
      </c>
      <c r="J106" s="310">
        <f t="shared" si="46"/>
        <v>737827.8858078133</v>
      </c>
      <c r="K106" s="310">
        <f t="shared" si="46"/>
        <v>743549.2599687792</v>
      </c>
      <c r="L106" s="310">
        <f t="shared" si="46"/>
        <v>831600.018932686</v>
      </c>
      <c r="M106" s="310">
        <f t="shared" si="46"/>
        <v>977398.6892179985</v>
      </c>
      <c r="N106" s="310">
        <f t="shared" si="46"/>
        <v>1297908.6491403072</v>
      </c>
      <c r="O106" s="310">
        <f t="shared" si="45"/>
        <v>12072891.71756523</v>
      </c>
      <c r="P106" s="281"/>
    </row>
    <row r="107" spans="1:16" ht="12.75">
      <c r="A107" s="290" t="s">
        <v>52</v>
      </c>
      <c r="B107" s="294">
        <f>'AA Calculation'!V18</f>
        <v>0.268</v>
      </c>
      <c r="C107" s="550">
        <f aca="true" t="shared" si="47" ref="C107:N107">C9*$B107/100</f>
        <v>67145.36076153984</v>
      </c>
      <c r="D107" s="550">
        <f t="shared" si="47"/>
        <v>64178.78792283722</v>
      </c>
      <c r="E107" s="550">
        <f t="shared" si="47"/>
        <v>66405.91827698209</v>
      </c>
      <c r="F107" s="550">
        <f t="shared" si="47"/>
        <v>52725.32432357518</v>
      </c>
      <c r="G107" s="550">
        <f t="shared" si="47"/>
        <v>52810.643305396174</v>
      </c>
      <c r="H107" s="550">
        <f t="shared" si="47"/>
        <v>45489.650520301526</v>
      </c>
      <c r="I107" s="550">
        <f t="shared" si="47"/>
        <v>46820.260215099894</v>
      </c>
      <c r="J107" s="550">
        <f t="shared" si="47"/>
        <v>46513.6569311753</v>
      </c>
      <c r="K107" s="550">
        <f t="shared" si="47"/>
        <v>47377.80691445864</v>
      </c>
      <c r="L107" s="550">
        <f t="shared" si="47"/>
        <v>48443.52412136116</v>
      </c>
      <c r="M107" s="550">
        <f t="shared" si="47"/>
        <v>47537.21057689563</v>
      </c>
      <c r="N107" s="550">
        <f t="shared" si="47"/>
        <v>59373.25120024206</v>
      </c>
      <c r="O107" s="550">
        <f t="shared" si="45"/>
        <v>644821.6630698649</v>
      </c>
      <c r="P107" s="281"/>
    </row>
    <row r="108" spans="1:16" ht="12.75">
      <c r="A108" s="290" t="s">
        <v>53</v>
      </c>
      <c r="B108" s="294">
        <f>'AA Calculation'!V19</f>
        <v>0.25</v>
      </c>
      <c r="C108" s="550">
        <f aca="true" t="shared" si="48" ref="C108:N108">C10*$B108/100</f>
        <v>598948.5977694088</v>
      </c>
      <c r="D108" s="550">
        <f t="shared" si="48"/>
        <v>568421.6769767501</v>
      </c>
      <c r="E108" s="550">
        <f t="shared" si="48"/>
        <v>570461.4051346174</v>
      </c>
      <c r="F108" s="550">
        <f t="shared" si="48"/>
        <v>484795.49588107946</v>
      </c>
      <c r="G108" s="550">
        <f t="shared" si="48"/>
        <v>475274.67004080804</v>
      </c>
      <c r="H108" s="550">
        <f t="shared" si="48"/>
        <v>473163.2033343464</v>
      </c>
      <c r="I108" s="550">
        <f t="shared" si="48"/>
        <v>489588.20377257967</v>
      </c>
      <c r="J108" s="550">
        <f t="shared" si="48"/>
        <v>476470.8997679624</v>
      </c>
      <c r="K108" s="550">
        <f t="shared" si="48"/>
        <v>456071.8542922632</v>
      </c>
      <c r="L108" s="550">
        <f t="shared" si="48"/>
        <v>492933.98230905423</v>
      </c>
      <c r="M108" s="550">
        <f t="shared" si="48"/>
        <v>498556.47944860876</v>
      </c>
      <c r="N108" s="550">
        <f t="shared" si="48"/>
        <v>568485.9080728113</v>
      </c>
      <c r="O108" s="550">
        <f t="shared" si="45"/>
        <v>6153172.626800291</v>
      </c>
      <c r="P108" s="281"/>
    </row>
    <row r="109" spans="1:16" ht="12.75">
      <c r="A109" s="290" t="s">
        <v>54</v>
      </c>
      <c r="B109" s="294">
        <f>'AA Calculation'!V20</f>
        <v>0.198</v>
      </c>
      <c r="C109" s="550">
        <f aca="true" t="shared" si="49" ref="C109:N109">C11*$B109/100</f>
        <v>69491.18286</v>
      </c>
      <c r="D109" s="550">
        <f t="shared" si="49"/>
        <v>60939.44010000001</v>
      </c>
      <c r="E109" s="550">
        <f t="shared" si="49"/>
        <v>73705.07628000001</v>
      </c>
      <c r="F109" s="550">
        <f t="shared" si="49"/>
        <v>64160.415</v>
      </c>
      <c r="G109" s="550">
        <f t="shared" si="49"/>
        <v>66339.96534</v>
      </c>
      <c r="H109" s="550">
        <f t="shared" si="49"/>
        <v>65616.8337</v>
      </c>
      <c r="I109" s="550">
        <f t="shared" si="49"/>
        <v>75179.3328</v>
      </c>
      <c r="J109" s="550">
        <f t="shared" si="49"/>
        <v>75999.96162</v>
      </c>
      <c r="K109" s="550">
        <f t="shared" si="49"/>
        <v>70906.3641</v>
      </c>
      <c r="L109" s="550">
        <f t="shared" si="49"/>
        <v>68989.46076</v>
      </c>
      <c r="M109" s="550">
        <f t="shared" si="49"/>
        <v>65282.59608340342</v>
      </c>
      <c r="N109" s="550">
        <f t="shared" si="49"/>
        <v>65460.31433153271</v>
      </c>
      <c r="O109" s="550">
        <f t="shared" si="45"/>
        <v>822071.1409749362</v>
      </c>
      <c r="P109" s="281"/>
    </row>
    <row r="110" spans="1:16" ht="12.75">
      <c r="A110" s="290" t="s">
        <v>55</v>
      </c>
      <c r="B110" s="294">
        <f>'AA Calculation'!V21</f>
        <v>0.23</v>
      </c>
      <c r="C110" s="550">
        <f aca="true" t="shared" si="50" ref="C110:N110">C12*$B110/100</f>
        <v>54951.89666877676</v>
      </c>
      <c r="D110" s="550">
        <f t="shared" si="50"/>
        <v>51031.22007651473</v>
      </c>
      <c r="E110" s="550">
        <f t="shared" si="50"/>
        <v>54792.940402656735</v>
      </c>
      <c r="F110" s="550">
        <f t="shared" si="50"/>
        <v>46524.338327129975</v>
      </c>
      <c r="G110" s="550">
        <f t="shared" si="50"/>
        <v>47904.05696248149</v>
      </c>
      <c r="H110" s="550">
        <f t="shared" si="50"/>
        <v>46616.128867930056</v>
      </c>
      <c r="I110" s="550">
        <f t="shared" si="50"/>
        <v>53060.010365167356</v>
      </c>
      <c r="J110" s="550">
        <f t="shared" si="50"/>
        <v>43480.29900740381</v>
      </c>
      <c r="K110" s="550">
        <f t="shared" si="50"/>
        <v>48850.2553879111</v>
      </c>
      <c r="L110" s="550">
        <f t="shared" si="50"/>
        <v>38200.40621764124</v>
      </c>
      <c r="M110" s="550">
        <f t="shared" si="50"/>
        <v>47649.39649209651</v>
      </c>
      <c r="N110" s="550">
        <f t="shared" si="50"/>
        <v>55258.206748524826</v>
      </c>
      <c r="O110" s="550">
        <f t="shared" si="45"/>
        <v>588319.3855242346</v>
      </c>
      <c r="P110" s="281"/>
    </row>
    <row r="111" spans="1:16" ht="12.75">
      <c r="A111" s="290" t="s">
        <v>56</v>
      </c>
      <c r="B111" s="294">
        <f>'AA Calculation'!V22</f>
        <v>0.215</v>
      </c>
      <c r="C111" s="550">
        <f aca="true" t="shared" si="51" ref="C111:N111">C13*$B111/100</f>
        <v>80278.13913813382</v>
      </c>
      <c r="D111" s="550">
        <f t="shared" si="51"/>
        <v>83356.97386924824</v>
      </c>
      <c r="E111" s="550">
        <f t="shared" si="51"/>
        <v>93295.14784269256</v>
      </c>
      <c r="F111" s="550">
        <f t="shared" si="51"/>
        <v>90774.87796029424</v>
      </c>
      <c r="G111" s="550">
        <f t="shared" si="51"/>
        <v>82262.33144911719</v>
      </c>
      <c r="H111" s="550">
        <f t="shared" si="51"/>
        <v>89435.58752987297</v>
      </c>
      <c r="I111" s="550">
        <f t="shared" si="51"/>
        <v>89018.07935158357</v>
      </c>
      <c r="J111" s="550">
        <f t="shared" si="51"/>
        <v>86054.07452920903</v>
      </c>
      <c r="K111" s="550">
        <f t="shared" si="51"/>
        <v>92650.77809476393</v>
      </c>
      <c r="L111" s="550">
        <f t="shared" si="51"/>
        <v>89859.23928594528</v>
      </c>
      <c r="M111" s="550">
        <f t="shared" si="51"/>
        <v>88442.67442013607</v>
      </c>
      <c r="N111" s="550">
        <f t="shared" si="51"/>
        <v>90094.6866904509</v>
      </c>
      <c r="O111" s="550">
        <f t="shared" si="45"/>
        <v>1055522.805161448</v>
      </c>
      <c r="P111" s="281"/>
    </row>
    <row r="112" spans="1:16" ht="12.75">
      <c r="A112" s="290" t="s">
        <v>57</v>
      </c>
      <c r="B112" s="294">
        <f>'AA Calculation'!V23</f>
        <v>0.188</v>
      </c>
      <c r="C112" s="550">
        <f aca="true" t="shared" si="52" ref="C112:N112">C14*$B112/100</f>
        <v>145537.51054719999</v>
      </c>
      <c r="D112" s="550">
        <f t="shared" si="52"/>
        <v>136817.3152384</v>
      </c>
      <c r="E112" s="550">
        <f t="shared" si="52"/>
        <v>145771.4582172</v>
      </c>
      <c r="F112" s="550">
        <f t="shared" si="52"/>
        <v>142151.89938719998</v>
      </c>
      <c r="G112" s="550">
        <f t="shared" si="52"/>
        <v>144099.11796</v>
      </c>
      <c r="H112" s="550">
        <f t="shared" si="52"/>
        <v>145610.7831336</v>
      </c>
      <c r="I112" s="550">
        <f t="shared" si="52"/>
        <v>144782.621852</v>
      </c>
      <c r="J112" s="550">
        <f t="shared" si="52"/>
        <v>149270.83537760001</v>
      </c>
      <c r="K112" s="550">
        <f t="shared" si="52"/>
        <v>151973.26500920003</v>
      </c>
      <c r="L112" s="550">
        <f t="shared" si="52"/>
        <v>145682.10486279998</v>
      </c>
      <c r="M112" s="550">
        <f t="shared" si="52"/>
        <v>149221.7263557126</v>
      </c>
      <c r="N112" s="550">
        <f t="shared" si="52"/>
        <v>141133.67554063167</v>
      </c>
      <c r="O112" s="550">
        <f t="shared" si="45"/>
        <v>1742052.501481544</v>
      </c>
      <c r="P112" s="281"/>
    </row>
    <row r="113" spans="1:16" ht="12.75">
      <c r="A113" s="290" t="s">
        <v>61</v>
      </c>
      <c r="B113" s="294">
        <f>'AA Calculation'!V24</f>
        <v>0.225</v>
      </c>
      <c r="C113" s="550">
        <f aca="true" t="shared" si="53" ref="C113:N113">C15*$B113/100</f>
        <v>359310.024</v>
      </c>
      <c r="D113" s="550">
        <f t="shared" si="53"/>
        <v>338646.15</v>
      </c>
      <c r="E113" s="550">
        <f t="shared" si="53"/>
        <v>381292.58475000004</v>
      </c>
      <c r="F113" s="550">
        <f t="shared" si="53"/>
        <v>380589.86475</v>
      </c>
      <c r="G113" s="550">
        <f t="shared" si="53"/>
        <v>401344.94700000004</v>
      </c>
      <c r="H113" s="550">
        <f t="shared" si="53"/>
        <v>352175.20875</v>
      </c>
      <c r="I113" s="550">
        <f t="shared" si="53"/>
        <v>402566.60024999996</v>
      </c>
      <c r="J113" s="550">
        <f t="shared" si="53"/>
        <v>368023.61024999997</v>
      </c>
      <c r="K113" s="550">
        <f t="shared" si="53"/>
        <v>193180.1265</v>
      </c>
      <c r="L113" s="550">
        <f t="shared" si="53"/>
        <v>57890.58075</v>
      </c>
      <c r="M113" s="550">
        <f t="shared" si="53"/>
        <v>84641.76000000002</v>
      </c>
      <c r="N113" s="550">
        <f t="shared" si="53"/>
        <v>87463.15200000002</v>
      </c>
      <c r="O113" s="550">
        <f t="shared" si="45"/>
        <v>3407124.834000001</v>
      </c>
      <c r="P113" s="281"/>
    </row>
    <row r="114" spans="1:16" ht="12.75">
      <c r="A114" s="290" t="s">
        <v>58</v>
      </c>
      <c r="B114" s="294">
        <f>'AA Calculation'!V25</f>
        <v>0.23</v>
      </c>
      <c r="C114" s="550">
        <f aca="true" t="shared" si="54" ref="C114:N114">C16*$B114/100</f>
        <v>46968.45180000001</v>
      </c>
      <c r="D114" s="550">
        <f t="shared" si="54"/>
        <v>44373.318100000004</v>
      </c>
      <c r="E114" s="550">
        <f t="shared" si="54"/>
        <v>44570.892700000004</v>
      </c>
      <c r="F114" s="550">
        <f t="shared" si="54"/>
        <v>36264.244900000005</v>
      </c>
      <c r="G114" s="550">
        <f t="shared" si="54"/>
        <v>32338.938400000003</v>
      </c>
      <c r="H114" s="550">
        <f t="shared" si="54"/>
        <v>29095.0667</v>
      </c>
      <c r="I114" s="550">
        <f t="shared" si="54"/>
        <v>31297.5168</v>
      </c>
      <c r="J114" s="550">
        <f t="shared" si="54"/>
        <v>31198.0717</v>
      </c>
      <c r="K114" s="550">
        <f t="shared" si="54"/>
        <v>30493.602400000003</v>
      </c>
      <c r="L114" s="550">
        <f t="shared" si="54"/>
        <v>35090.7067</v>
      </c>
      <c r="M114" s="550">
        <f t="shared" si="54"/>
        <v>38425.626213578464</v>
      </c>
      <c r="N114" s="550">
        <f t="shared" si="54"/>
        <v>45585.77302724682</v>
      </c>
      <c r="O114" s="550">
        <f t="shared" si="45"/>
        <v>445702.4394408252</v>
      </c>
      <c r="P114" s="281"/>
    </row>
    <row r="115" spans="1:16" ht="12.75">
      <c r="A115" s="290" t="s">
        <v>59</v>
      </c>
      <c r="B115" s="294">
        <f>'AA Calculation'!V26</f>
        <v>0.222</v>
      </c>
      <c r="C115" s="307">
        <f aca="true" t="shared" si="55" ref="C115:N115">C17*$B115/100</f>
        <v>19673.08997936021</v>
      </c>
      <c r="D115" s="307">
        <f t="shared" si="55"/>
        <v>19795.624875939324</v>
      </c>
      <c r="E115" s="307">
        <f t="shared" si="55"/>
        <v>22037.31760043015</v>
      </c>
      <c r="F115" s="307">
        <f t="shared" si="55"/>
        <v>20479.718974231466</v>
      </c>
      <c r="G115" s="307">
        <f t="shared" si="55"/>
        <v>21993.536881973083</v>
      </c>
      <c r="H115" s="307">
        <f t="shared" si="55"/>
        <v>19872.108281152254</v>
      </c>
      <c r="I115" s="307">
        <f t="shared" si="55"/>
        <v>20728.692419265517</v>
      </c>
      <c r="J115" s="307">
        <f t="shared" si="55"/>
        <v>21164.458324985477</v>
      </c>
      <c r="K115" s="307">
        <f t="shared" si="55"/>
        <v>21924.083475666648</v>
      </c>
      <c r="L115" s="307">
        <f t="shared" si="55"/>
        <v>20621.727471009992</v>
      </c>
      <c r="M115" s="307">
        <f t="shared" si="55"/>
        <v>22269.391580228872</v>
      </c>
      <c r="N115" s="307">
        <f t="shared" si="55"/>
        <v>22408.962167278693</v>
      </c>
      <c r="O115" s="307">
        <f t="shared" si="45"/>
        <v>252968.93403152167</v>
      </c>
      <c r="P115" s="281"/>
    </row>
    <row r="116" spans="1:16" ht="12.75">
      <c r="A116" s="329" t="s">
        <v>63</v>
      </c>
      <c r="B116" s="294"/>
      <c r="C116" s="309">
        <f>SUM(C106:C115)</f>
        <v>2887466.332289319</v>
      </c>
      <c r="D116" s="309">
        <f aca="true" t="shared" si="56" ref="D116:N116">SUM(D106:D115)</f>
        <v>2685854.8768493244</v>
      </c>
      <c r="E116" s="309">
        <f t="shared" si="56"/>
        <v>2735084.976006495</v>
      </c>
      <c r="F116" s="309">
        <f t="shared" si="56"/>
        <v>2331741.502367409</v>
      </c>
      <c r="G116" s="309">
        <f t="shared" si="56"/>
        <v>2252593.748208752</v>
      </c>
      <c r="H116" s="309">
        <f t="shared" si="56"/>
        <v>2027319.4623007874</v>
      </c>
      <c r="I116" s="309">
        <f t="shared" si="56"/>
        <v>2089694.0938504317</v>
      </c>
      <c r="J116" s="309">
        <f t="shared" si="56"/>
        <v>2036003.753316149</v>
      </c>
      <c r="K116" s="309">
        <f t="shared" si="56"/>
        <v>1856977.3961430427</v>
      </c>
      <c r="L116" s="309">
        <f t="shared" si="56"/>
        <v>1829311.7514104978</v>
      </c>
      <c r="M116" s="309">
        <f t="shared" si="56"/>
        <v>2019425.550388659</v>
      </c>
      <c r="N116" s="309">
        <f t="shared" si="56"/>
        <v>2433172.5789190265</v>
      </c>
      <c r="O116" s="309">
        <f t="shared" si="45"/>
        <v>27184646.022049893</v>
      </c>
      <c r="P116" s="281"/>
    </row>
    <row r="117" spans="1:16" ht="12.75">
      <c r="A117" s="290"/>
      <c r="B117" s="294"/>
      <c r="C117" s="550"/>
      <c r="D117" s="550"/>
      <c r="E117" s="550"/>
      <c r="F117" s="550"/>
      <c r="G117" s="550"/>
      <c r="H117" s="550"/>
      <c r="I117" s="550"/>
      <c r="J117" s="550"/>
      <c r="K117" s="550"/>
      <c r="L117" s="550"/>
      <c r="M117" s="550"/>
      <c r="N117" s="550"/>
      <c r="O117" s="550"/>
      <c r="P117" s="281"/>
    </row>
    <row r="118" spans="1:16" ht="12.75">
      <c r="A118" s="278" t="s">
        <v>130</v>
      </c>
      <c r="B118" s="294"/>
      <c r="C118" s="550"/>
      <c r="D118" s="550"/>
      <c r="E118" s="550"/>
      <c r="F118" s="550"/>
      <c r="G118" s="550"/>
      <c r="H118" s="550"/>
      <c r="I118" s="550"/>
      <c r="J118" s="550"/>
      <c r="K118" s="550"/>
      <c r="L118" s="550"/>
      <c r="M118" s="550"/>
      <c r="N118" s="550"/>
      <c r="O118" s="550"/>
      <c r="P118" s="281"/>
    </row>
    <row r="119" spans="1:16" ht="12.75">
      <c r="A119" s="290" t="s">
        <v>108</v>
      </c>
      <c r="B119" s="294">
        <f>'AA Calculation'!V29</f>
        <v>0.148</v>
      </c>
      <c r="C119" s="550">
        <f aca="true" t="shared" si="57" ref="C119:N119">C21*$B119/100</f>
        <v>22937.04</v>
      </c>
      <c r="D119" s="550">
        <f t="shared" si="57"/>
        <v>18461.52</v>
      </c>
      <c r="E119" s="550">
        <f t="shared" si="57"/>
        <v>22874.88</v>
      </c>
      <c r="F119" s="550">
        <f t="shared" si="57"/>
        <v>21445.2</v>
      </c>
      <c r="G119" s="550">
        <f t="shared" si="57"/>
        <v>22937.04</v>
      </c>
      <c r="H119" s="550">
        <f t="shared" si="57"/>
        <v>21445.2</v>
      </c>
      <c r="I119" s="550">
        <f t="shared" si="57"/>
        <v>22937.04</v>
      </c>
      <c r="J119" s="550">
        <f t="shared" si="57"/>
        <v>22937.04</v>
      </c>
      <c r="K119" s="550">
        <f t="shared" si="57"/>
        <v>21445.2</v>
      </c>
      <c r="L119" s="550">
        <f t="shared" si="57"/>
        <v>22937.04</v>
      </c>
      <c r="M119" s="550">
        <f t="shared" si="57"/>
        <v>21445.2</v>
      </c>
      <c r="N119" s="550">
        <f t="shared" si="57"/>
        <v>22937.04</v>
      </c>
      <c r="O119" s="550">
        <f t="shared" si="45"/>
        <v>264739.58800000005</v>
      </c>
      <c r="P119" s="281"/>
    </row>
    <row r="120" spans="1:16" ht="12.75">
      <c r="A120" s="290" t="s">
        <v>151</v>
      </c>
      <c r="B120" s="294">
        <f>B119</f>
        <v>0.148</v>
      </c>
      <c r="C120" s="542">
        <f aca="true" t="shared" si="58" ref="C120:N120">C22*$B120/100</f>
        <v>-672.4968004000007</v>
      </c>
      <c r="D120" s="542">
        <f t="shared" si="58"/>
        <v>-314.79748</v>
      </c>
      <c r="E120" s="542">
        <f t="shared" si="58"/>
        <v>-303.33488</v>
      </c>
      <c r="F120" s="307">
        <f t="shared" si="58"/>
        <v>143.60884</v>
      </c>
      <c r="G120" s="307">
        <f t="shared" si="58"/>
        <v>2680.7037683999997</v>
      </c>
      <c r="H120" s="542">
        <f t="shared" si="58"/>
        <v>-88.6152071999994</v>
      </c>
      <c r="I120" s="307">
        <f t="shared" si="58"/>
        <v>2972.24256</v>
      </c>
      <c r="J120" s="307">
        <f t="shared" si="58"/>
        <v>2221.1244892</v>
      </c>
      <c r="K120" s="307">
        <f t="shared" si="58"/>
        <v>872.9484</v>
      </c>
      <c r="L120" s="307">
        <f t="shared" si="58"/>
        <v>4054.9341920000006</v>
      </c>
      <c r="M120" s="307">
        <f t="shared" si="58"/>
        <v>1938.7058868000001</v>
      </c>
      <c r="N120" s="307">
        <f t="shared" si="58"/>
        <v>296.50764</v>
      </c>
      <c r="O120" s="307">
        <f t="shared" si="45"/>
        <v>13801.6794088</v>
      </c>
      <c r="P120" s="281"/>
    </row>
    <row r="121" spans="1:16" ht="12.75">
      <c r="A121" s="290" t="s">
        <v>161</v>
      </c>
      <c r="B121" s="290"/>
      <c r="C121" s="309">
        <f>SUM(C119:C120)</f>
        <v>22264.5431996</v>
      </c>
      <c r="D121" s="309">
        <f aca="true" t="shared" si="59" ref="D121:N121">SUM(D119:D120)</f>
        <v>18146.72252</v>
      </c>
      <c r="E121" s="309">
        <f t="shared" si="59"/>
        <v>22571.545120000002</v>
      </c>
      <c r="F121" s="309">
        <f t="shared" si="59"/>
        <v>21588.80884</v>
      </c>
      <c r="G121" s="309">
        <f t="shared" si="59"/>
        <v>25617.7437684</v>
      </c>
      <c r="H121" s="309">
        <f t="shared" si="59"/>
        <v>21356.5847928</v>
      </c>
      <c r="I121" s="309">
        <f t="shared" si="59"/>
        <v>25909.28256</v>
      </c>
      <c r="J121" s="309">
        <f t="shared" si="59"/>
        <v>25158.1644892</v>
      </c>
      <c r="K121" s="309">
        <f t="shared" si="59"/>
        <v>22318.148400000002</v>
      </c>
      <c r="L121" s="309">
        <f t="shared" si="59"/>
        <v>26991.974192</v>
      </c>
      <c r="M121" s="309">
        <f t="shared" si="59"/>
        <v>23383.9058868</v>
      </c>
      <c r="N121" s="309">
        <f t="shared" si="59"/>
        <v>23233.54764</v>
      </c>
      <c r="O121" s="309">
        <f>SUM(O119:O120)</f>
        <v>278541.2674088</v>
      </c>
      <c r="P121" s="281"/>
    </row>
    <row r="122" spans="1:16" ht="12.75">
      <c r="A122" s="290"/>
      <c r="B122" s="290"/>
      <c r="C122" s="550"/>
      <c r="D122" s="550"/>
      <c r="E122" s="550"/>
      <c r="F122" s="550"/>
      <c r="G122" s="550"/>
      <c r="H122" s="550"/>
      <c r="I122" s="550"/>
      <c r="J122" s="550"/>
      <c r="K122" s="550"/>
      <c r="L122" s="550"/>
      <c r="M122" s="550"/>
      <c r="N122" s="550"/>
      <c r="O122" s="550"/>
      <c r="P122" s="281"/>
    </row>
    <row r="123" spans="1:16" ht="12.75">
      <c r="A123" s="290" t="s">
        <v>49</v>
      </c>
      <c r="B123" s="290"/>
      <c r="C123" s="309">
        <f aca="true" t="shared" si="60" ref="C123:N123">C121+C116</f>
        <v>2909730.875488919</v>
      </c>
      <c r="D123" s="309">
        <f t="shared" si="60"/>
        <v>2704001.5993693243</v>
      </c>
      <c r="E123" s="309">
        <f t="shared" si="60"/>
        <v>2757656.5211264947</v>
      </c>
      <c r="F123" s="309">
        <f t="shared" si="60"/>
        <v>2353330.311207409</v>
      </c>
      <c r="G123" s="309">
        <f t="shared" si="60"/>
        <v>2278211.491977152</v>
      </c>
      <c r="H123" s="309">
        <f t="shared" si="60"/>
        <v>2048676.0470935875</v>
      </c>
      <c r="I123" s="309">
        <f t="shared" si="60"/>
        <v>2115603.3764104317</v>
      </c>
      <c r="J123" s="309">
        <f t="shared" si="60"/>
        <v>2061161.9178053492</v>
      </c>
      <c r="K123" s="309">
        <f t="shared" si="60"/>
        <v>1879295.5445430428</v>
      </c>
      <c r="L123" s="309">
        <f t="shared" si="60"/>
        <v>1856303.7256024978</v>
      </c>
      <c r="M123" s="309">
        <f t="shared" si="60"/>
        <v>2042809.456275459</v>
      </c>
      <c r="N123" s="309">
        <f t="shared" si="60"/>
        <v>2456406.1265590265</v>
      </c>
      <c r="O123" s="309">
        <f>SUM(C123:N123)</f>
        <v>27463186.99345869</v>
      </c>
      <c r="P123" s="281"/>
    </row>
    <row r="124" spans="1:16" ht="12.75">
      <c r="A124" s="278"/>
      <c r="B124" s="290"/>
      <c r="C124" s="543"/>
      <c r="D124" s="543"/>
      <c r="E124" s="543"/>
      <c r="F124" s="543"/>
      <c r="G124" s="543"/>
      <c r="H124" s="543"/>
      <c r="I124" s="543"/>
      <c r="J124" s="543"/>
      <c r="K124" s="543"/>
      <c r="L124" s="543"/>
      <c r="M124" s="543"/>
      <c r="N124" s="543"/>
      <c r="O124" s="543"/>
      <c r="P124" s="281"/>
    </row>
    <row r="125" spans="1:16" ht="12.75">
      <c r="A125" s="278" t="s">
        <v>287</v>
      </c>
      <c r="B125" s="320">
        <f>'AA Calculation'!N32</f>
        <v>80297385.23127824</v>
      </c>
      <c r="C125" s="309">
        <f>'AA Calculation'!N32</f>
        <v>80297385.23127824</v>
      </c>
      <c r="D125" s="309">
        <f>C127</f>
        <v>78743126.86239167</v>
      </c>
      <c r="E125" s="309">
        <f aca="true" t="shared" si="61" ref="E125:N125">D127</f>
        <v>77301425.19990751</v>
      </c>
      <c r="F125" s="309">
        <f t="shared" si="61"/>
        <v>75841968.69309585</v>
      </c>
      <c r="G125" s="309">
        <f t="shared" si="61"/>
        <v>74613154.61636454</v>
      </c>
      <c r="H125" s="309">
        <f t="shared" si="61"/>
        <v>73434089.62181255</v>
      </c>
      <c r="I125" s="309">
        <f t="shared" si="61"/>
        <v>72377583.7323261</v>
      </c>
      <c r="J125" s="309">
        <f t="shared" si="61"/>
        <v>71297478.34914824</v>
      </c>
      <c r="K125" s="309">
        <f t="shared" si="61"/>
        <v>70240505.91210757</v>
      </c>
      <c r="L125" s="309">
        <f t="shared" si="61"/>
        <v>69249254.1999702</v>
      </c>
      <c r="M125" s="309">
        <f t="shared" si="61"/>
        <v>68242772.97583018</v>
      </c>
      <c r="N125" s="309">
        <f t="shared" si="61"/>
        <v>67132677.93904044</v>
      </c>
      <c r="O125" s="309">
        <f>SUM(C125:N125)</f>
        <v>878771423.333273</v>
      </c>
      <c r="P125" s="281"/>
    </row>
    <row r="126" spans="1:15" ht="12.75">
      <c r="A126" s="547" t="s">
        <v>285</v>
      </c>
      <c r="B126" s="290"/>
      <c r="C126" s="319">
        <f aca="true" t="shared" si="62" ref="C126:N126">C75</f>
        <v>1554258.3688865753</v>
      </c>
      <c r="D126" s="319">
        <f t="shared" si="62"/>
        <v>1441701.662484155</v>
      </c>
      <c r="E126" s="319">
        <f t="shared" si="62"/>
        <v>1459456.506811667</v>
      </c>
      <c r="F126" s="319">
        <f t="shared" si="62"/>
        <v>1228814.07673131</v>
      </c>
      <c r="G126" s="319">
        <f t="shared" si="62"/>
        <v>1179064.9945519883</v>
      </c>
      <c r="H126" s="319">
        <f t="shared" si="62"/>
        <v>1056505.889486447</v>
      </c>
      <c r="I126" s="319">
        <f t="shared" si="62"/>
        <v>1080105.3831778653</v>
      </c>
      <c r="J126" s="319">
        <f t="shared" si="62"/>
        <v>1056972.4370406717</v>
      </c>
      <c r="K126" s="319">
        <f t="shared" si="62"/>
        <v>991251.7121373672</v>
      </c>
      <c r="L126" s="319">
        <f t="shared" si="62"/>
        <v>1006481.2241400128</v>
      </c>
      <c r="M126" s="319">
        <f t="shared" si="62"/>
        <v>1110095.0367897388</v>
      </c>
      <c r="N126" s="319">
        <f t="shared" si="62"/>
        <v>1350614.8224748622</v>
      </c>
      <c r="O126" s="319">
        <f>SUM(C126:N126)</f>
        <v>14515322.114712661</v>
      </c>
    </row>
    <row r="127" spans="1:15" ht="12.75">
      <c r="A127" s="547" t="s">
        <v>157</v>
      </c>
      <c r="B127" s="290"/>
      <c r="C127" s="548">
        <f>C125-C126</f>
        <v>78743126.86239167</v>
      </c>
      <c r="D127" s="548">
        <f aca="true" t="shared" si="63" ref="D127:N127">D125-D126</f>
        <v>77301425.19990751</v>
      </c>
      <c r="E127" s="548">
        <f t="shared" si="63"/>
        <v>75841968.69309585</v>
      </c>
      <c r="F127" s="548">
        <f t="shared" si="63"/>
        <v>74613154.61636454</v>
      </c>
      <c r="G127" s="548">
        <f t="shared" si="63"/>
        <v>73434089.62181255</v>
      </c>
      <c r="H127" s="548">
        <f t="shared" si="63"/>
        <v>72377583.7323261</v>
      </c>
      <c r="I127" s="548">
        <f t="shared" si="63"/>
        <v>71297478.34914824</v>
      </c>
      <c r="J127" s="548">
        <f t="shared" si="63"/>
        <v>70240505.91210757</v>
      </c>
      <c r="K127" s="548">
        <f t="shared" si="63"/>
        <v>69249254.1999702</v>
      </c>
      <c r="L127" s="548">
        <f t="shared" si="63"/>
        <v>68242772.97583018</v>
      </c>
      <c r="M127" s="548">
        <f t="shared" si="63"/>
        <v>67132677.93904044</v>
      </c>
      <c r="N127" s="548">
        <f t="shared" si="63"/>
        <v>65782063.11656558</v>
      </c>
      <c r="O127" s="309">
        <f>SUM(C127:N127)</f>
        <v>864256101.2185605</v>
      </c>
    </row>
    <row r="128" spans="1:15" ht="12.75">
      <c r="A128" s="547" t="s">
        <v>286</v>
      </c>
      <c r="B128" s="290"/>
      <c r="C128" s="548">
        <f>$B$99/12*C127</f>
        <v>516429.6474554014</v>
      </c>
      <c r="D128" s="548">
        <f aca="true" t="shared" si="64" ref="D128:N128">$B$99/12*D127</f>
        <v>506974.37801209267</v>
      </c>
      <c r="E128" s="548">
        <f t="shared" si="64"/>
        <v>497402.6650344459</v>
      </c>
      <c r="F128" s="548">
        <f t="shared" si="64"/>
        <v>489343.5994915753</v>
      </c>
      <c r="G128" s="548">
        <f t="shared" si="64"/>
        <v>481610.8087868376</v>
      </c>
      <c r="H128" s="548">
        <f t="shared" si="64"/>
        <v>474681.8108440009</v>
      </c>
      <c r="I128" s="548">
        <f t="shared" si="64"/>
        <v>467598.03776468174</v>
      </c>
      <c r="J128" s="548">
        <f t="shared" si="64"/>
        <v>460665.98001207435</v>
      </c>
      <c r="K128" s="548">
        <f t="shared" si="64"/>
        <v>454164.94566614006</v>
      </c>
      <c r="L128" s="548">
        <f t="shared" si="64"/>
        <v>447564.029948614</v>
      </c>
      <c r="M128" s="548">
        <f t="shared" si="64"/>
        <v>440283.5724492164</v>
      </c>
      <c r="N128" s="548">
        <f t="shared" si="64"/>
        <v>431425.68777519715</v>
      </c>
      <c r="O128" s="309">
        <f>SUM(C128:N128)</f>
        <v>5668145.163240277</v>
      </c>
    </row>
    <row r="129" spans="1:15" ht="12.75">
      <c r="A129" s="543"/>
      <c r="B129" s="543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</row>
    <row r="130" spans="1:15" ht="15.75">
      <c r="A130" s="248" t="s">
        <v>312</v>
      </c>
      <c r="B130" s="543"/>
      <c r="C130" s="543"/>
      <c r="D130" s="543"/>
      <c r="E130" s="543"/>
      <c r="F130" s="543"/>
      <c r="G130" s="543"/>
      <c r="H130" s="543"/>
      <c r="I130" s="543"/>
      <c r="J130" s="543"/>
      <c r="K130" s="543"/>
      <c r="L130" s="543"/>
      <c r="M130" s="543"/>
      <c r="N130" s="543"/>
      <c r="O130" s="543"/>
    </row>
    <row r="131" spans="1:15" ht="12.75">
      <c r="A131" s="543" t="s">
        <v>43</v>
      </c>
      <c r="B131" s="543"/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3"/>
      <c r="O131" s="543"/>
    </row>
    <row r="132" spans="1:15" ht="12.75">
      <c r="A132" s="543" t="s">
        <v>133</v>
      </c>
      <c r="B132" s="543"/>
      <c r="C132" s="438">
        <v>545673.0485100003</v>
      </c>
      <c r="D132" s="438">
        <v>496433.14659000013</v>
      </c>
      <c r="E132" s="438">
        <v>482387.78941362456</v>
      </c>
      <c r="F132" s="438">
        <v>380542.0910715206</v>
      </c>
      <c r="G132" s="438">
        <v>352918.6866243209</v>
      </c>
      <c r="H132" s="438">
        <v>291236.20301336504</v>
      </c>
      <c r="I132" s="438">
        <v>283967.4199773751</v>
      </c>
      <c r="J132" s="438">
        <v>284235.99850450776</v>
      </c>
      <c r="K132" s="438">
        <v>285520.7890259035</v>
      </c>
      <c r="L132" s="438">
        <v>317208.3741128873</v>
      </c>
      <c r="M132" s="438">
        <v>368489.82411413756</v>
      </c>
      <c r="N132" s="438">
        <v>481735.82601802057</v>
      </c>
      <c r="O132" s="548">
        <f>SUM(C132:N132)</f>
        <v>4570349.196975664</v>
      </c>
    </row>
    <row r="133" spans="1:15" ht="15">
      <c r="A133" s="543" t="s">
        <v>134</v>
      </c>
      <c r="B133" s="543"/>
      <c r="C133" s="437">
        <v>27230.489857513378</v>
      </c>
      <c r="D133" s="437">
        <v>26176.407108390966</v>
      </c>
      <c r="E133" s="437">
        <v>26131.846525706453</v>
      </c>
      <c r="F133" s="437">
        <v>21149.197635239438</v>
      </c>
      <c r="G133" s="437">
        <v>15056.438505880238</v>
      </c>
      <c r="H133" s="437">
        <v>10146.593253341449</v>
      </c>
      <c r="I133" s="437">
        <v>8062.787661002166</v>
      </c>
      <c r="J133" s="437">
        <v>8260.056226446735</v>
      </c>
      <c r="K133" s="437">
        <v>9243.38189029114</v>
      </c>
      <c r="L133" s="437">
        <v>12461.633392570391</v>
      </c>
      <c r="M133" s="437">
        <v>18978.941968711864</v>
      </c>
      <c r="N133" s="437">
        <v>32792.24560545831</v>
      </c>
      <c r="O133" s="328">
        <f>SUM(C133:N133)</f>
        <v>215690.01963055253</v>
      </c>
    </row>
    <row r="134" spans="1:15" ht="12.75">
      <c r="A134" s="543" t="s">
        <v>135</v>
      </c>
      <c r="B134" s="543"/>
      <c r="C134" s="548">
        <f>SUM(C132:C133)</f>
        <v>572903.5383675137</v>
      </c>
      <c r="D134" s="548">
        <f aca="true" t="shared" si="65" ref="D134:N134">SUM(D132:D133)</f>
        <v>522609.5536983911</v>
      </c>
      <c r="E134" s="548">
        <f t="shared" si="65"/>
        <v>508519.635939331</v>
      </c>
      <c r="F134" s="548">
        <f t="shared" si="65"/>
        <v>401691.28870676004</v>
      </c>
      <c r="G134" s="548">
        <f t="shared" si="65"/>
        <v>367975.12513020117</v>
      </c>
      <c r="H134" s="548">
        <f t="shared" si="65"/>
        <v>301382.7962667065</v>
      </c>
      <c r="I134" s="548">
        <f t="shared" si="65"/>
        <v>292030.20763837727</v>
      </c>
      <c r="J134" s="548">
        <f t="shared" si="65"/>
        <v>292496.0547309545</v>
      </c>
      <c r="K134" s="548">
        <f t="shared" si="65"/>
        <v>294764.1709161946</v>
      </c>
      <c r="L134" s="548">
        <f t="shared" si="65"/>
        <v>329670.0075054577</v>
      </c>
      <c r="M134" s="548">
        <f t="shared" si="65"/>
        <v>387468.7660828494</v>
      </c>
      <c r="N134" s="548">
        <f t="shared" si="65"/>
        <v>514528.0716234789</v>
      </c>
      <c r="O134" s="548">
        <f>SUM(C134:N134)</f>
        <v>4786039.2166062165</v>
      </c>
    </row>
    <row r="135" spans="1:15" ht="12.75">
      <c r="A135" s="543" t="s">
        <v>52</v>
      </c>
      <c r="B135" s="543"/>
      <c r="C135" s="438">
        <v>32069.42603536236</v>
      </c>
      <c r="D135" s="438">
        <v>30652.555425832703</v>
      </c>
      <c r="E135" s="438">
        <v>31716.259475573534</v>
      </c>
      <c r="F135" s="438">
        <v>25182.244453050836</v>
      </c>
      <c r="G135" s="438">
        <v>25222.993817502655</v>
      </c>
      <c r="H135" s="438">
        <v>21726.40024850222</v>
      </c>
      <c r="I135" s="438">
        <v>22361.91532661487</v>
      </c>
      <c r="J135" s="438">
        <v>22215.47793727776</v>
      </c>
      <c r="K135" s="438">
        <v>22628.206287502635</v>
      </c>
      <c r="L135" s="438">
        <v>23137.205550500854</v>
      </c>
      <c r="M135" s="438">
        <v>22704.339380009853</v>
      </c>
      <c r="N135" s="438">
        <v>28357.3737075783</v>
      </c>
      <c r="O135" s="548">
        <f aca="true" t="shared" si="66" ref="O135:O143">SUM(C135:N135)</f>
        <v>307974.3976453086</v>
      </c>
    </row>
    <row r="136" spans="1:15" ht="12.75">
      <c r="A136" s="543" t="s">
        <v>53</v>
      </c>
      <c r="B136" s="543"/>
      <c r="C136" s="438">
        <v>277912.1493650057</v>
      </c>
      <c r="D136" s="438">
        <v>263747.65811721206</v>
      </c>
      <c r="E136" s="438">
        <v>264694.09198246244</v>
      </c>
      <c r="F136" s="438">
        <v>224945.11008882086</v>
      </c>
      <c r="G136" s="438">
        <v>220527.44689893493</v>
      </c>
      <c r="H136" s="438">
        <v>219547.72634713675</v>
      </c>
      <c r="I136" s="438">
        <v>227168.92655047696</v>
      </c>
      <c r="J136" s="438">
        <v>221082.49749233454</v>
      </c>
      <c r="K136" s="438">
        <v>211617.34039161014</v>
      </c>
      <c r="L136" s="438">
        <v>228721.36779140116</v>
      </c>
      <c r="M136" s="438">
        <v>231330.20646415447</v>
      </c>
      <c r="N136" s="438">
        <v>263777.4613457845</v>
      </c>
      <c r="O136" s="548">
        <f t="shared" si="66"/>
        <v>2855071.9828353347</v>
      </c>
    </row>
    <row r="137" spans="1:15" ht="12.75">
      <c r="A137" s="543" t="s">
        <v>54</v>
      </c>
      <c r="B137" s="543"/>
      <c r="C137" s="438">
        <v>38606.2127</v>
      </c>
      <c r="D137" s="438">
        <v>33855.2445</v>
      </c>
      <c r="E137" s="438">
        <v>40947.26460000001</v>
      </c>
      <c r="F137" s="438">
        <v>35644.67500000001</v>
      </c>
      <c r="G137" s="438">
        <v>36855.53630000001</v>
      </c>
      <c r="H137" s="438">
        <v>36453.796500000004</v>
      </c>
      <c r="I137" s="438">
        <v>41766.296</v>
      </c>
      <c r="J137" s="438">
        <v>42222.2009</v>
      </c>
      <c r="K137" s="438">
        <v>39392.4245</v>
      </c>
      <c r="L137" s="438">
        <v>38327.4782</v>
      </c>
      <c r="M137" s="438">
        <v>36268.108935224125</v>
      </c>
      <c r="N137" s="438">
        <v>36366.84129529595</v>
      </c>
      <c r="O137" s="548">
        <f t="shared" si="66"/>
        <v>456706.0794305202</v>
      </c>
    </row>
    <row r="138" spans="1:15" ht="12.75">
      <c r="A138" s="543" t="s">
        <v>55</v>
      </c>
      <c r="B138" s="543"/>
      <c r="C138" s="438">
        <v>27714.869624252624</v>
      </c>
      <c r="D138" s="438">
        <v>25737.48490815525</v>
      </c>
      <c r="E138" s="438">
        <v>27634.700376992096</v>
      </c>
      <c r="F138" s="438">
        <v>23464.448895422076</v>
      </c>
      <c r="G138" s="438">
        <v>24160.30698977327</v>
      </c>
      <c r="H138" s="438">
        <v>23510.74325512994</v>
      </c>
      <c r="I138" s="438">
        <v>26760.700879823537</v>
      </c>
      <c r="J138" s="438">
        <v>21929.19428199497</v>
      </c>
      <c r="K138" s="438">
        <v>24637.520108685596</v>
      </c>
      <c r="L138" s="438">
        <v>19266.29183150602</v>
      </c>
      <c r="M138" s="438">
        <v>24031.869535144328</v>
      </c>
      <c r="N138" s="438">
        <v>27869.356447082086</v>
      </c>
      <c r="O138" s="548">
        <f t="shared" si="66"/>
        <v>296717.48713396175</v>
      </c>
    </row>
    <row r="139" spans="1:15" ht="12.75">
      <c r="A139" s="543" t="s">
        <v>56</v>
      </c>
      <c r="B139" s="543"/>
      <c r="C139" s="438">
        <v>46299.9500145516</v>
      </c>
      <c r="D139" s="438">
        <v>48075.65004551991</v>
      </c>
      <c r="E139" s="438">
        <v>53807.434104622684</v>
      </c>
      <c r="F139" s="438">
        <v>52353.883102681335</v>
      </c>
      <c r="G139" s="438">
        <v>47444.32139390945</v>
      </c>
      <c r="H139" s="438">
        <v>51581.45513350813</v>
      </c>
      <c r="I139" s="438">
        <v>51340.659719052856</v>
      </c>
      <c r="J139" s="438">
        <v>49631.18717033451</v>
      </c>
      <c r="K139" s="438">
        <v>53435.79759884059</v>
      </c>
      <c r="L139" s="438">
        <v>51825.793820731225</v>
      </c>
      <c r="M139" s="438">
        <v>51008.79827021801</v>
      </c>
      <c r="N139" s="438">
        <v>51961.58674239959</v>
      </c>
      <c r="O139" s="548">
        <f t="shared" si="66"/>
        <v>608766.5171163699</v>
      </c>
    </row>
    <row r="140" spans="1:15" ht="12.75">
      <c r="A140" s="543" t="s">
        <v>57</v>
      </c>
      <c r="B140" s="543"/>
      <c r="C140" s="438">
        <v>76639.43374559999</v>
      </c>
      <c r="D140" s="438">
        <v>72047.41600319999</v>
      </c>
      <c r="E140" s="438">
        <v>76762.62959309998</v>
      </c>
      <c r="F140" s="438">
        <v>74856.58531560001</v>
      </c>
      <c r="G140" s="438">
        <v>75881.98232999998</v>
      </c>
      <c r="H140" s="438">
        <v>76678.0187778</v>
      </c>
      <c r="I140" s="438">
        <v>76241.912571</v>
      </c>
      <c r="J140" s="438">
        <v>78605.3867148</v>
      </c>
      <c r="K140" s="438">
        <v>80028.4746591</v>
      </c>
      <c r="L140" s="438">
        <v>76715.5764969</v>
      </c>
      <c r="M140" s="438">
        <v>78579.52611284866</v>
      </c>
      <c r="N140" s="438">
        <v>74320.39297086452</v>
      </c>
      <c r="O140" s="548">
        <f t="shared" si="66"/>
        <v>917357.3352908132</v>
      </c>
    </row>
    <row r="141" spans="1:15" ht="12.75">
      <c r="A141" s="543" t="s">
        <v>61</v>
      </c>
      <c r="B141" s="543"/>
      <c r="C141" s="438">
        <v>178793.04243000003</v>
      </c>
      <c r="D141" s="438">
        <v>161046.28251000002</v>
      </c>
      <c r="E141" s="438">
        <v>177202.75986000002</v>
      </c>
      <c r="F141" s="438">
        <v>173225.00160000002</v>
      </c>
      <c r="G141" s="438">
        <v>178995.14346000002</v>
      </c>
      <c r="H141" s="438">
        <v>171076.12596000003</v>
      </c>
      <c r="I141" s="438">
        <v>178402.65432000003</v>
      </c>
      <c r="J141" s="438">
        <v>178148.79621000003</v>
      </c>
      <c r="K141" s="438">
        <v>98427.91134000002</v>
      </c>
      <c r="L141" s="438">
        <v>28760.00454</v>
      </c>
      <c r="M141" s="438">
        <v>41756.60160000001</v>
      </c>
      <c r="N141" s="438">
        <v>43148.488320000004</v>
      </c>
      <c r="O141" s="548">
        <f t="shared" si="66"/>
        <v>1608982.8121500004</v>
      </c>
    </row>
    <row r="142" spans="1:15" ht="12.75">
      <c r="A142" s="543" t="s">
        <v>58</v>
      </c>
      <c r="B142" s="543"/>
      <c r="C142" s="438">
        <v>21442.1193</v>
      </c>
      <c r="D142" s="438">
        <v>20257.384349999997</v>
      </c>
      <c r="E142" s="438">
        <v>20347.581449999998</v>
      </c>
      <c r="F142" s="438">
        <v>16555.416149999997</v>
      </c>
      <c r="G142" s="438">
        <v>14763.428399999999</v>
      </c>
      <c r="H142" s="438">
        <v>13282.530449999997</v>
      </c>
      <c r="I142" s="438">
        <v>14287.996799999999</v>
      </c>
      <c r="J142" s="438">
        <v>14242.59795</v>
      </c>
      <c r="K142" s="438">
        <v>13920.9924</v>
      </c>
      <c r="L142" s="438">
        <v>16019.67045</v>
      </c>
      <c r="M142" s="438">
        <v>17542.13370619886</v>
      </c>
      <c r="N142" s="438">
        <v>20810.896382003975</v>
      </c>
      <c r="O142" s="548">
        <f t="shared" si="66"/>
        <v>203472.7477882028</v>
      </c>
    </row>
    <row r="143" spans="1:15" ht="15">
      <c r="A143" s="543" t="s">
        <v>59</v>
      </c>
      <c r="B143" s="543"/>
      <c r="C143" s="437">
        <v>11077.190303693813</v>
      </c>
      <c r="D143" s="437">
        <v>11146.185177893765</v>
      </c>
      <c r="E143" s="437">
        <v>12408.39954979175</v>
      </c>
      <c r="F143" s="437">
        <v>11531.373296301503</v>
      </c>
      <c r="G143" s="437">
        <v>12383.748244354212</v>
      </c>
      <c r="H143" s="437">
        <v>11189.25015830645</v>
      </c>
      <c r="I143" s="437">
        <v>11671.561046883737</v>
      </c>
      <c r="J143" s="437">
        <v>11916.924732536867</v>
      </c>
      <c r="K143" s="437">
        <v>12344.641596659147</v>
      </c>
      <c r="L143" s="437">
        <v>11611.3330354786</v>
      </c>
      <c r="M143" s="437">
        <v>12539.071835714452</v>
      </c>
      <c r="N143" s="437">
        <v>12617.658877972237</v>
      </c>
      <c r="O143" s="328">
        <f t="shared" si="66"/>
        <v>142437.33785558652</v>
      </c>
    </row>
    <row r="144" spans="1:15" ht="12.75">
      <c r="A144" s="543" t="s">
        <v>63</v>
      </c>
      <c r="B144" s="543"/>
      <c r="C144" s="309">
        <f>SUM(C134:C143)</f>
        <v>1283457.9318859798</v>
      </c>
      <c r="D144" s="309">
        <f aca="true" t="shared" si="67" ref="D144:N144">SUM(D134:D143)</f>
        <v>1189175.4147362048</v>
      </c>
      <c r="E144" s="309">
        <f t="shared" si="67"/>
        <v>1214040.7569318735</v>
      </c>
      <c r="F144" s="309">
        <f t="shared" si="67"/>
        <v>1039450.0266086367</v>
      </c>
      <c r="G144" s="309">
        <f t="shared" si="67"/>
        <v>1004210.0329646758</v>
      </c>
      <c r="H144" s="309">
        <f t="shared" si="67"/>
        <v>926428.84309709</v>
      </c>
      <c r="I144" s="309">
        <f t="shared" si="67"/>
        <v>942032.830852229</v>
      </c>
      <c r="J144" s="309">
        <f t="shared" si="67"/>
        <v>932490.3181202332</v>
      </c>
      <c r="K144" s="309">
        <f t="shared" si="67"/>
        <v>851197.4797985927</v>
      </c>
      <c r="L144" s="309">
        <f t="shared" si="67"/>
        <v>824054.7292219757</v>
      </c>
      <c r="M144" s="309">
        <f t="shared" si="67"/>
        <v>903229.4219223623</v>
      </c>
      <c r="N144" s="309">
        <f t="shared" si="67"/>
        <v>1073758.1277124602</v>
      </c>
      <c r="O144" s="309">
        <f>SUM(O134:O143)</f>
        <v>12183525.913852314</v>
      </c>
    </row>
    <row r="145" spans="1:15" ht="12.75">
      <c r="A145" s="543"/>
      <c r="B145" s="543"/>
      <c r="C145" s="548"/>
      <c r="D145" s="548"/>
      <c r="E145" s="548"/>
      <c r="F145" s="548"/>
      <c r="G145" s="548"/>
      <c r="H145" s="548"/>
      <c r="I145" s="548"/>
      <c r="J145" s="548"/>
      <c r="K145" s="548"/>
      <c r="L145" s="548"/>
      <c r="M145" s="548"/>
      <c r="N145" s="548"/>
      <c r="O145" s="548"/>
    </row>
    <row r="146" spans="1:15" ht="12.75">
      <c r="A146" s="543" t="s">
        <v>273</v>
      </c>
      <c r="B146" s="543"/>
      <c r="C146" s="438">
        <v>12398.400000000001</v>
      </c>
      <c r="D146" s="438">
        <v>9979.2</v>
      </c>
      <c r="E146" s="438">
        <v>12364.800000000001</v>
      </c>
      <c r="F146" s="438">
        <v>11592</v>
      </c>
      <c r="G146" s="438">
        <v>12398.400000000001</v>
      </c>
      <c r="H146" s="438">
        <v>11592</v>
      </c>
      <c r="I146" s="438">
        <v>12398.400000000001</v>
      </c>
      <c r="J146" s="438">
        <v>12398.400000000001</v>
      </c>
      <c r="K146" s="438">
        <v>11592</v>
      </c>
      <c r="L146" s="438">
        <v>12398.400000000001</v>
      </c>
      <c r="M146" s="438">
        <v>11592</v>
      </c>
      <c r="N146" s="438">
        <v>12398.400000000001</v>
      </c>
      <c r="O146" s="548">
        <f>SUM(C146:N146)</f>
        <v>143102.4</v>
      </c>
    </row>
    <row r="147" spans="1:15" ht="15">
      <c r="A147" s="543" t="s">
        <v>274</v>
      </c>
      <c r="B147" s="543"/>
      <c r="C147" s="437">
        <v>0</v>
      </c>
      <c r="D147" s="437">
        <v>0</v>
      </c>
      <c r="E147" s="437">
        <v>0</v>
      </c>
      <c r="F147" s="437">
        <v>0</v>
      </c>
      <c r="G147" s="437">
        <v>0</v>
      </c>
      <c r="H147" s="437">
        <v>0</v>
      </c>
      <c r="I147" s="437">
        <v>0</v>
      </c>
      <c r="J147" s="437">
        <v>0</v>
      </c>
      <c r="K147" s="437">
        <v>0</v>
      </c>
      <c r="L147" s="437">
        <v>0</v>
      </c>
      <c r="M147" s="437">
        <v>0</v>
      </c>
      <c r="N147" s="437">
        <v>0</v>
      </c>
      <c r="O147" s="328">
        <f>SUM(C147:N147)</f>
        <v>0</v>
      </c>
    </row>
    <row r="148" spans="1:15" ht="12.75">
      <c r="A148" s="543" t="s">
        <v>277</v>
      </c>
      <c r="B148" s="543"/>
      <c r="C148" s="309">
        <f>SUM(C146:C147)</f>
        <v>12398.400000000001</v>
      </c>
      <c r="D148" s="309">
        <f aca="true" t="shared" si="68" ref="D148:N148">SUM(D146:D147)</f>
        <v>9979.2</v>
      </c>
      <c r="E148" s="309">
        <f t="shared" si="68"/>
        <v>12364.800000000001</v>
      </c>
      <c r="F148" s="309">
        <f t="shared" si="68"/>
        <v>11592</v>
      </c>
      <c r="G148" s="309">
        <f t="shared" si="68"/>
        <v>12398.400000000001</v>
      </c>
      <c r="H148" s="309">
        <f t="shared" si="68"/>
        <v>11592</v>
      </c>
      <c r="I148" s="309">
        <f t="shared" si="68"/>
        <v>12398.400000000001</v>
      </c>
      <c r="J148" s="309">
        <f t="shared" si="68"/>
        <v>12398.400000000001</v>
      </c>
      <c r="K148" s="309">
        <f t="shared" si="68"/>
        <v>11592</v>
      </c>
      <c r="L148" s="309">
        <f t="shared" si="68"/>
        <v>12398.400000000001</v>
      </c>
      <c r="M148" s="309">
        <f t="shared" si="68"/>
        <v>11592</v>
      </c>
      <c r="N148" s="309">
        <f t="shared" si="68"/>
        <v>12398.400000000001</v>
      </c>
      <c r="O148" s="309">
        <f>SUM(O146:O147)</f>
        <v>143102.4</v>
      </c>
    </row>
    <row r="149" spans="1:15" ht="12.75">
      <c r="A149" s="543"/>
      <c r="B149" s="543"/>
      <c r="C149" s="548"/>
      <c r="D149" s="548"/>
      <c r="E149" s="548"/>
      <c r="F149" s="548"/>
      <c r="G149" s="548"/>
      <c r="H149" s="548"/>
      <c r="I149" s="548"/>
      <c r="J149" s="548"/>
      <c r="K149" s="548"/>
      <c r="L149" s="548"/>
      <c r="M149" s="548"/>
      <c r="N149" s="548"/>
      <c r="O149" s="548"/>
    </row>
    <row r="150" spans="1:15" ht="12.75">
      <c r="A150" s="543" t="s">
        <v>278</v>
      </c>
      <c r="B150" s="543"/>
      <c r="C150" s="309">
        <f>C144+C148</f>
        <v>1295856.3318859797</v>
      </c>
      <c r="D150" s="309">
        <f aca="true" t="shared" si="69" ref="D150:N150">D144+D148</f>
        <v>1199154.6147362047</v>
      </c>
      <c r="E150" s="309">
        <f t="shared" si="69"/>
        <v>1226405.5569318736</v>
      </c>
      <c r="F150" s="309">
        <f t="shared" si="69"/>
        <v>1051042.0266086366</v>
      </c>
      <c r="G150" s="309">
        <f t="shared" si="69"/>
        <v>1016608.4329646758</v>
      </c>
      <c r="H150" s="309">
        <f t="shared" si="69"/>
        <v>938020.84309709</v>
      </c>
      <c r="I150" s="309">
        <f t="shared" si="69"/>
        <v>954431.230852229</v>
      </c>
      <c r="J150" s="309">
        <f t="shared" si="69"/>
        <v>944888.7181202333</v>
      </c>
      <c r="K150" s="309">
        <f t="shared" si="69"/>
        <v>862789.4797985927</v>
      </c>
      <c r="L150" s="309">
        <f t="shared" si="69"/>
        <v>836453.1292219757</v>
      </c>
      <c r="M150" s="309">
        <f t="shared" si="69"/>
        <v>914821.4219223623</v>
      </c>
      <c r="N150" s="309">
        <f t="shared" si="69"/>
        <v>1086156.5277124601</v>
      </c>
      <c r="O150" s="309">
        <f>SUM(C150:N150)</f>
        <v>12326628.313852314</v>
      </c>
    </row>
    <row r="151" spans="1:15" ht="12.75">
      <c r="A151" s="543"/>
      <c r="B151" s="543"/>
      <c r="C151" s="543"/>
      <c r="D151" s="543"/>
      <c r="E151" s="543"/>
      <c r="F151" s="543"/>
      <c r="G151" s="543"/>
      <c r="H151" s="543"/>
      <c r="I151" s="543"/>
      <c r="J151" s="543"/>
      <c r="K151" s="543"/>
      <c r="L151" s="543"/>
      <c r="M151" s="543"/>
      <c r="N151" s="543"/>
      <c r="O151" s="543"/>
    </row>
    <row r="152" spans="1:15" ht="15.75">
      <c r="A152" s="248" t="s">
        <v>313</v>
      </c>
      <c r="B152" s="543"/>
      <c r="C152" s="543"/>
      <c r="D152" s="543"/>
      <c r="E152" s="543"/>
      <c r="F152" s="543"/>
      <c r="G152" s="543"/>
      <c r="H152" s="543"/>
      <c r="I152" s="543"/>
      <c r="J152" s="543"/>
      <c r="K152" s="543"/>
      <c r="L152" s="543"/>
      <c r="M152" s="543"/>
      <c r="N152" s="543"/>
      <c r="O152" s="543"/>
    </row>
    <row r="153" spans="1:15" ht="12.75">
      <c r="A153" s="543" t="s">
        <v>43</v>
      </c>
      <c r="B153" s="543"/>
      <c r="C153" s="543"/>
      <c r="D153" s="543"/>
      <c r="E153" s="543"/>
      <c r="F153" s="543"/>
      <c r="G153" s="543"/>
      <c r="H153" s="543"/>
      <c r="I153" s="543"/>
      <c r="J153" s="543"/>
      <c r="K153" s="543"/>
      <c r="L153" s="543"/>
      <c r="M153" s="543"/>
      <c r="N153" s="543"/>
      <c r="O153" s="543"/>
    </row>
    <row r="154" spans="1:15" ht="12.75">
      <c r="A154" s="543" t="s">
        <v>133</v>
      </c>
      <c r="B154" s="543">
        <v>0.111</v>
      </c>
      <c r="C154" s="550">
        <f>C6*$B154/100</f>
        <v>545673.0485100003</v>
      </c>
      <c r="D154" s="550">
        <f>D6*$B154/100</f>
        <v>496433.1465900001</v>
      </c>
      <c r="E154" s="550">
        <f>E6*$B154/100</f>
        <v>482387.78941362456</v>
      </c>
      <c r="F154" s="550">
        <f>F6*$B154/100</f>
        <v>380542.0910715205</v>
      </c>
      <c r="G154" s="550">
        <f>G6*$B154/100</f>
        <v>352918.6866243209</v>
      </c>
      <c r="H154" s="550">
        <f>H6*$B154/100</f>
        <v>291236.20301336504</v>
      </c>
      <c r="I154" s="550">
        <f>I6*$B154/100</f>
        <v>283967.4199773751</v>
      </c>
      <c r="J154" s="550">
        <f>J6*$B154/100</f>
        <v>284235.99850450776</v>
      </c>
      <c r="K154" s="550">
        <f>K6*$B154/100</f>
        <v>285520.78902590345</v>
      </c>
      <c r="L154" s="550">
        <f>L6*$B154/100</f>
        <v>317208.37411288725</v>
      </c>
      <c r="M154" s="550">
        <f>M6*$B154/100</f>
        <v>368489.8241141375</v>
      </c>
      <c r="N154" s="550">
        <f>N6*$B154/100</f>
        <v>481735.82601802057</v>
      </c>
      <c r="O154" s="550">
        <f>SUM(B154:N154)</f>
        <v>4570349.307975663</v>
      </c>
    </row>
    <row r="155" spans="1:15" ht="12.75">
      <c r="A155" s="543" t="s">
        <v>134</v>
      </c>
      <c r="B155" s="543">
        <v>0.111</v>
      </c>
      <c r="C155" s="550">
        <f>C7*$B155/100</f>
        <v>27230.489857513378</v>
      </c>
      <c r="D155" s="550">
        <f>D7*$B155/100</f>
        <v>26176.407108390966</v>
      </c>
      <c r="E155" s="550">
        <f>E7*$B155/100</f>
        <v>26131.846525706453</v>
      </c>
      <c r="F155" s="550">
        <f>F7*$B155/100</f>
        <v>21149.197635239438</v>
      </c>
      <c r="G155" s="550">
        <f>G7*$B155/100</f>
        <v>15056.438505880236</v>
      </c>
      <c r="H155" s="550">
        <f>H7*$B155/100</f>
        <v>10146.593253341449</v>
      </c>
      <c r="I155" s="550">
        <f>I7*$B155/100</f>
        <v>8062.787661002166</v>
      </c>
      <c r="J155" s="550">
        <f>J7*$B155/100</f>
        <v>8260.056226446735</v>
      </c>
      <c r="K155" s="550">
        <f>K7*$B155/100</f>
        <v>9243.381890291139</v>
      </c>
      <c r="L155" s="550">
        <f>L7*$B155/100</f>
        <v>12461.63339257039</v>
      </c>
      <c r="M155" s="550">
        <f>M7*$B155/100</f>
        <v>18978.941968711864</v>
      </c>
      <c r="N155" s="550">
        <f>N7*$B155/100</f>
        <v>32792.2456054583</v>
      </c>
      <c r="O155" s="307">
        <f aca="true" t="shared" si="70" ref="O155:O166">SUM(B155:N155)</f>
        <v>215690.1306305525</v>
      </c>
    </row>
    <row r="156" spans="1:15" ht="12.75">
      <c r="A156" s="543" t="s">
        <v>135</v>
      </c>
      <c r="B156" s="543">
        <v>0.111</v>
      </c>
      <c r="C156" s="310">
        <f>SUM(C154:C155)</f>
        <v>572903.5383675137</v>
      </c>
      <c r="D156" s="310">
        <f aca="true" t="shared" si="71" ref="D156:N156">SUM(D154:D155)</f>
        <v>522609.5536983911</v>
      </c>
      <c r="E156" s="310">
        <f t="shared" si="71"/>
        <v>508519.635939331</v>
      </c>
      <c r="F156" s="310">
        <f t="shared" si="71"/>
        <v>401691.28870676</v>
      </c>
      <c r="G156" s="310">
        <f t="shared" si="71"/>
        <v>367975.12513020117</v>
      </c>
      <c r="H156" s="310">
        <f t="shared" si="71"/>
        <v>301382.7962667065</v>
      </c>
      <c r="I156" s="310">
        <f t="shared" si="71"/>
        <v>292030.20763837727</v>
      </c>
      <c r="J156" s="310">
        <f t="shared" si="71"/>
        <v>292496.0547309545</v>
      </c>
      <c r="K156" s="310">
        <f>SUM(K154:K155)</f>
        <v>294764.17091619456</v>
      </c>
      <c r="L156" s="310">
        <f t="shared" si="71"/>
        <v>329670.0075054576</v>
      </c>
      <c r="M156" s="310">
        <f t="shared" si="71"/>
        <v>387468.76608284935</v>
      </c>
      <c r="N156" s="310">
        <f t="shared" si="71"/>
        <v>514528.0716234789</v>
      </c>
      <c r="O156" s="310">
        <f t="shared" si="70"/>
        <v>4786039.327606216</v>
      </c>
    </row>
    <row r="157" spans="1:15" ht="12.75">
      <c r="A157" s="543" t="s">
        <v>52</v>
      </c>
      <c r="B157" s="543">
        <v>0.128</v>
      </c>
      <c r="C157" s="550">
        <f>C9*$B157/100</f>
        <v>32069.426035362307</v>
      </c>
      <c r="D157" s="550">
        <f>D9*$B157/100</f>
        <v>30652.5554258327</v>
      </c>
      <c r="E157" s="550">
        <f>E9*$B157/100</f>
        <v>31716.25947557353</v>
      </c>
      <c r="F157" s="550">
        <f>F9*$B157/100</f>
        <v>25182.244453050833</v>
      </c>
      <c r="G157" s="550">
        <f>G9*$B157/100</f>
        <v>25222.99381750265</v>
      </c>
      <c r="H157" s="550">
        <f>H9*$B157/100</f>
        <v>21726.40024850222</v>
      </c>
      <c r="I157" s="550">
        <f>I9*$B157/100</f>
        <v>22361.915326614875</v>
      </c>
      <c r="J157" s="550">
        <f>J9*$B157/100</f>
        <v>22215.477937277756</v>
      </c>
      <c r="K157" s="550">
        <f>K9*$B157/100</f>
        <v>22628.20628750263</v>
      </c>
      <c r="L157" s="550">
        <f>L9*$B157/100</f>
        <v>23137.205550500854</v>
      </c>
      <c r="M157" s="550">
        <f>M9*$B157/100</f>
        <v>22704.339380009853</v>
      </c>
      <c r="N157" s="550">
        <f>N9*$B157/100</f>
        <v>28357.3737075783</v>
      </c>
      <c r="O157" s="550">
        <f t="shared" si="70"/>
        <v>307974.5256453085</v>
      </c>
    </row>
    <row r="158" spans="1:15" ht="12.75">
      <c r="A158" s="543" t="s">
        <v>53</v>
      </c>
      <c r="B158" s="543">
        <v>0.116</v>
      </c>
      <c r="C158" s="550">
        <f>C10*$B158/100</f>
        <v>277912.1493650057</v>
      </c>
      <c r="D158" s="550">
        <f>D10*$B158/100</f>
        <v>263747.6581172121</v>
      </c>
      <c r="E158" s="550">
        <f>E10*$B158/100</f>
        <v>264694.09198246244</v>
      </c>
      <c r="F158" s="550">
        <f>F10*$B158/100</f>
        <v>224945.11008882086</v>
      </c>
      <c r="G158" s="550">
        <f>G10*$B158/100</f>
        <v>220527.44689893493</v>
      </c>
      <c r="H158" s="550">
        <f>H10*$B158/100</f>
        <v>219547.72634713675</v>
      </c>
      <c r="I158" s="550">
        <f>I10*$B158/100</f>
        <v>227168.92655047696</v>
      </c>
      <c r="J158" s="550">
        <f>J10*$B158/100</f>
        <v>221082.49749233454</v>
      </c>
      <c r="K158" s="550">
        <f>K10*$B158/100</f>
        <v>211617.34039161017</v>
      </c>
      <c r="L158" s="550">
        <f>L10*$B158/100</f>
        <v>228721.36779140114</v>
      </c>
      <c r="M158" s="550">
        <f>M10*$B158/100</f>
        <v>231330.20646415447</v>
      </c>
      <c r="N158" s="550">
        <f>N10*$B158/100</f>
        <v>263777.4613457844</v>
      </c>
      <c r="O158" s="550">
        <f t="shared" si="70"/>
        <v>2855072.0988353346</v>
      </c>
    </row>
    <row r="159" spans="1:15" ht="12.75">
      <c r="A159" s="543" t="s">
        <v>54</v>
      </c>
      <c r="B159" s="543">
        <v>0.11</v>
      </c>
      <c r="C159" s="550">
        <f>C11*$B159/100</f>
        <v>38606.212700000004</v>
      </c>
      <c r="D159" s="550">
        <f>D11*$B159/100</f>
        <v>33855.2445</v>
      </c>
      <c r="E159" s="550">
        <f>E11*$B159/100</f>
        <v>40947.2646</v>
      </c>
      <c r="F159" s="550">
        <f>F11*$B159/100</f>
        <v>35644.675</v>
      </c>
      <c r="G159" s="550">
        <f>G11*$B159/100</f>
        <v>36855.5363</v>
      </c>
      <c r="H159" s="550">
        <f>H11*$B159/100</f>
        <v>36453.7965</v>
      </c>
      <c r="I159" s="550">
        <f>I11*$B159/100</f>
        <v>41766.296</v>
      </c>
      <c r="J159" s="550">
        <f>J11*$B159/100</f>
        <v>42222.200899999996</v>
      </c>
      <c r="K159" s="550">
        <f>K11*$B159/100</f>
        <v>39392.4245</v>
      </c>
      <c r="L159" s="550">
        <f>L11*$B159/100</f>
        <v>38327.4782</v>
      </c>
      <c r="M159" s="550">
        <f>M11*$B159/100</f>
        <v>36268.10893522412</v>
      </c>
      <c r="N159" s="550">
        <f>N11*$B159/100</f>
        <v>36366.84129529595</v>
      </c>
      <c r="O159" s="550">
        <f t="shared" si="70"/>
        <v>456706.1894305202</v>
      </c>
    </row>
    <row r="160" spans="1:15" ht="12.75">
      <c r="A160" s="543" t="s">
        <v>55</v>
      </c>
      <c r="B160" s="543">
        <v>0.116</v>
      </c>
      <c r="C160" s="550">
        <f>C12*$B160/100</f>
        <v>27714.869624252628</v>
      </c>
      <c r="D160" s="550">
        <f>D12*$B160/100</f>
        <v>25737.484908155253</v>
      </c>
      <c r="E160" s="550">
        <f>E12*$B160/100</f>
        <v>27634.700376992096</v>
      </c>
      <c r="F160" s="550">
        <f>F12*$B160/100</f>
        <v>23464.448895422076</v>
      </c>
      <c r="G160" s="550">
        <f>G12*$B160/100</f>
        <v>24160.306989773275</v>
      </c>
      <c r="H160" s="550">
        <f>H12*$B160/100</f>
        <v>23510.743255129935</v>
      </c>
      <c r="I160" s="550">
        <f>I12*$B160/100</f>
        <v>26760.700879823537</v>
      </c>
      <c r="J160" s="550">
        <f>J12*$B160/100</f>
        <v>21929.19428199497</v>
      </c>
      <c r="K160" s="550">
        <f>K12*$B160/100</f>
        <v>24637.5201086856</v>
      </c>
      <c r="L160" s="550">
        <f>L12*$B160/100</f>
        <v>19266.29183150602</v>
      </c>
      <c r="M160" s="550">
        <f>M12*$B160/100</f>
        <v>24031.86953514433</v>
      </c>
      <c r="N160" s="550">
        <f>N12*$B160/100</f>
        <v>27869.356447082086</v>
      </c>
      <c r="O160" s="550">
        <f t="shared" si="70"/>
        <v>296717.6031339618</v>
      </c>
    </row>
    <row r="161" spans="1:15" ht="12.75">
      <c r="A161" s="543" t="s">
        <v>56</v>
      </c>
      <c r="B161" s="543">
        <v>0.124</v>
      </c>
      <c r="C161" s="550">
        <f>C13*$B161/100</f>
        <v>46299.9500145516</v>
      </c>
      <c r="D161" s="550">
        <f>D13*$B161/100</f>
        <v>48075.650045519906</v>
      </c>
      <c r="E161" s="550">
        <f>E13*$B161/100</f>
        <v>53807.434104622684</v>
      </c>
      <c r="F161" s="550">
        <f>F13*$B161/100</f>
        <v>52353.88310268134</v>
      </c>
      <c r="G161" s="550">
        <f>G13*$B161/100</f>
        <v>47444.32139390944</v>
      </c>
      <c r="H161" s="550">
        <f>H13*$B161/100</f>
        <v>51581.45513350813</v>
      </c>
      <c r="I161" s="550">
        <f>I13*$B161/100</f>
        <v>51340.659719052856</v>
      </c>
      <c r="J161" s="550">
        <f>J13*$B161/100</f>
        <v>49631.1871703345</v>
      </c>
      <c r="K161" s="550">
        <f>K13*$B161/100</f>
        <v>53435.797598840596</v>
      </c>
      <c r="L161" s="550">
        <f>L13*$B161/100</f>
        <v>51825.79382073122</v>
      </c>
      <c r="M161" s="550">
        <f>M13*$B161/100</f>
        <v>51008.79827021801</v>
      </c>
      <c r="N161" s="550">
        <f>N13*$B161/100</f>
        <v>51961.58674239959</v>
      </c>
      <c r="O161" s="550">
        <f t="shared" si="70"/>
        <v>608766.6411163699</v>
      </c>
    </row>
    <row r="162" spans="1:15" ht="12.75">
      <c r="A162" s="543" t="s">
        <v>57</v>
      </c>
      <c r="B162" s="543">
        <v>0.099</v>
      </c>
      <c r="C162" s="550">
        <f>C14*$B162/100</f>
        <v>76639.4337456</v>
      </c>
      <c r="D162" s="550">
        <f>D14*$B162/100</f>
        <v>72047.4160032</v>
      </c>
      <c r="E162" s="550">
        <f>E14*$B162/100</f>
        <v>76762.62959309999</v>
      </c>
      <c r="F162" s="550">
        <f>F14*$B162/100</f>
        <v>74856.5853156</v>
      </c>
      <c r="G162" s="550">
        <f>G14*$B162/100</f>
        <v>75881.98233</v>
      </c>
      <c r="H162" s="550">
        <f>H14*$B162/100</f>
        <v>76678.01877780001</v>
      </c>
      <c r="I162" s="550">
        <f>I14*$B162/100</f>
        <v>76241.91257100001</v>
      </c>
      <c r="J162" s="550">
        <f>J14*$B162/100</f>
        <v>78605.38671480001</v>
      </c>
      <c r="K162" s="550">
        <f>K14*$B162/100</f>
        <v>80028.4746591</v>
      </c>
      <c r="L162" s="550">
        <f>L14*$B162/100</f>
        <v>76715.5764969</v>
      </c>
      <c r="M162" s="550">
        <f>M14*$B162/100</f>
        <v>78579.52611284866</v>
      </c>
      <c r="N162" s="550">
        <f>N14*$B162/100</f>
        <v>74320.39297086454</v>
      </c>
      <c r="O162" s="550">
        <f t="shared" si="70"/>
        <v>917357.4342908134</v>
      </c>
    </row>
    <row r="163" spans="1:15" ht="12.75">
      <c r="A163" s="543" t="s">
        <v>61</v>
      </c>
      <c r="B163" s="543">
        <v>0.111</v>
      </c>
      <c r="C163" s="550">
        <f>C15*$B163/100</f>
        <v>177259.61184</v>
      </c>
      <c r="D163" s="550">
        <f>D15*$B163/100</f>
        <v>167065.434</v>
      </c>
      <c r="E163" s="550">
        <f>E15*$B163/100</f>
        <v>188104.34181</v>
      </c>
      <c r="F163" s="550">
        <f>F15*$B163/100</f>
        <v>187757.66661</v>
      </c>
      <c r="G163" s="550">
        <f>G15*$B163/100</f>
        <v>197996.84052</v>
      </c>
      <c r="H163" s="550">
        <f>H15*$B163/100</f>
        <v>173739.76965</v>
      </c>
      <c r="I163" s="550">
        <f>I15*$B163/100</f>
        <v>198599.52279</v>
      </c>
      <c r="J163" s="550">
        <f>J15*$B163/100</f>
        <v>181558.31438999998</v>
      </c>
      <c r="K163" s="550">
        <f>K15*$B163/100</f>
        <v>95302.19574000001</v>
      </c>
      <c r="L163" s="550">
        <f>L15*$B163/100</f>
        <v>28559.35317</v>
      </c>
      <c r="M163" s="550">
        <f>M15*$B163/100</f>
        <v>41756.60160000001</v>
      </c>
      <c r="N163" s="550">
        <f>N15*$B163/100</f>
        <v>43148.488320000004</v>
      </c>
      <c r="O163" s="550">
        <f t="shared" si="70"/>
        <v>1680848.25144</v>
      </c>
    </row>
    <row r="164" spans="1:15" ht="12.75">
      <c r="A164" s="543" t="s">
        <v>58</v>
      </c>
      <c r="B164" s="543">
        <v>0.105</v>
      </c>
      <c r="C164" s="550">
        <f>C16*$B164/100</f>
        <v>21442.1193</v>
      </c>
      <c r="D164" s="550">
        <f>D16*$B164/100</f>
        <v>20257.384349999997</v>
      </c>
      <c r="E164" s="550">
        <f>E16*$B164/100</f>
        <v>20347.58145</v>
      </c>
      <c r="F164" s="550">
        <f>F16*$B164/100</f>
        <v>16555.41615</v>
      </c>
      <c r="G164" s="550">
        <f>G16*$B164/100</f>
        <v>14763.428399999999</v>
      </c>
      <c r="H164" s="550">
        <f>H16*$B164/100</f>
        <v>13282.530449999998</v>
      </c>
      <c r="I164" s="550">
        <f>I16*$B164/100</f>
        <v>14287.996799999999</v>
      </c>
      <c r="J164" s="550">
        <f>J16*$B164/100</f>
        <v>14242.59795</v>
      </c>
      <c r="K164" s="550">
        <f>K16*$B164/100</f>
        <v>13920.9924</v>
      </c>
      <c r="L164" s="550">
        <f>L16*$B164/100</f>
        <v>16019.67045</v>
      </c>
      <c r="M164" s="550">
        <f>M16*$B164/100</f>
        <v>17542.13370619886</v>
      </c>
      <c r="N164" s="550">
        <f>N16*$B164/100</f>
        <v>20810.89638200398</v>
      </c>
      <c r="O164" s="550">
        <f t="shared" si="70"/>
        <v>203472.8527882028</v>
      </c>
    </row>
    <row r="165" spans="1:15" ht="12.75">
      <c r="A165" s="543" t="s">
        <v>59</v>
      </c>
      <c r="B165" s="543">
        <v>0.125</v>
      </c>
      <c r="C165" s="550">
        <f>C17*$B165/100</f>
        <v>11077.190303693811</v>
      </c>
      <c r="D165" s="550">
        <f>D17*$B165/100</f>
        <v>11146.185177893763</v>
      </c>
      <c r="E165" s="550">
        <f>E17*$B165/100</f>
        <v>12408.39954979175</v>
      </c>
      <c r="F165" s="550">
        <f>F17*$B165/100</f>
        <v>11531.373296301503</v>
      </c>
      <c r="G165" s="550">
        <f>G17*$B165/100</f>
        <v>12383.748244354212</v>
      </c>
      <c r="H165" s="550">
        <f>H17*$B165/100</f>
        <v>11189.25015830645</v>
      </c>
      <c r="I165" s="550">
        <f>I17*$B165/100</f>
        <v>11671.561046883737</v>
      </c>
      <c r="J165" s="550">
        <f>J17*$B165/100</f>
        <v>11916.924732536867</v>
      </c>
      <c r="K165" s="550">
        <f>K17*$B165/100</f>
        <v>12344.641596659147</v>
      </c>
      <c r="L165" s="550">
        <f>L17*$B165/100</f>
        <v>11611.3330354786</v>
      </c>
      <c r="M165" s="550">
        <f>M17*$B165/100</f>
        <v>12539.071835714452</v>
      </c>
      <c r="N165" s="550">
        <f>N17*$B165/100</f>
        <v>12617.658877972237</v>
      </c>
      <c r="O165" s="307">
        <f t="shared" si="70"/>
        <v>142437.46285558652</v>
      </c>
    </row>
    <row r="166" spans="1:15" ht="12.75">
      <c r="A166" s="543" t="s">
        <v>63</v>
      </c>
      <c r="B166" s="543"/>
      <c r="C166" s="309">
        <f>SUM(C156:C165)</f>
        <v>1281924.5012959796</v>
      </c>
      <c r="D166" s="309">
        <f aca="true" t="shared" si="72" ref="D166:N166">SUM(D156:D165)</f>
        <v>1195194.5662262049</v>
      </c>
      <c r="E166" s="309">
        <f t="shared" si="72"/>
        <v>1224942.3388818738</v>
      </c>
      <c r="F166" s="309">
        <f t="shared" si="72"/>
        <v>1053982.6916186365</v>
      </c>
      <c r="G166" s="309">
        <f t="shared" si="72"/>
        <v>1023211.7300246757</v>
      </c>
      <c r="H166" s="309">
        <f t="shared" si="72"/>
        <v>929092.48678709</v>
      </c>
      <c r="I166" s="309">
        <f t="shared" si="72"/>
        <v>962229.6993222291</v>
      </c>
      <c r="J166" s="309">
        <f t="shared" si="72"/>
        <v>935899.8363002331</v>
      </c>
      <c r="K166" s="309">
        <f t="shared" si="72"/>
        <v>848071.7641985927</v>
      </c>
      <c r="L166" s="309">
        <f t="shared" si="72"/>
        <v>823854.0778519755</v>
      </c>
      <c r="M166" s="309">
        <f t="shared" si="72"/>
        <v>903229.4219223622</v>
      </c>
      <c r="N166" s="309">
        <f t="shared" si="72"/>
        <v>1073758.1277124602</v>
      </c>
      <c r="O166" s="309">
        <f t="shared" si="70"/>
        <v>12255391.242142312</v>
      </c>
    </row>
    <row r="167" spans="1:15" ht="12.75">
      <c r="A167" s="543"/>
      <c r="B167" s="543"/>
      <c r="C167" s="550"/>
      <c r="D167" s="550"/>
      <c r="E167" s="550"/>
      <c r="F167" s="550"/>
      <c r="G167" s="550"/>
      <c r="H167" s="550"/>
      <c r="I167" s="550"/>
      <c r="J167" s="550"/>
      <c r="K167" s="550"/>
      <c r="L167" s="550"/>
      <c r="M167" s="550"/>
      <c r="N167" s="550"/>
      <c r="O167" s="550"/>
    </row>
    <row r="168" spans="1:15" ht="12.75">
      <c r="A168" s="543" t="s">
        <v>130</v>
      </c>
      <c r="B168" s="543"/>
      <c r="C168" s="550"/>
      <c r="D168" s="550"/>
      <c r="E168" s="550"/>
      <c r="F168" s="550"/>
      <c r="G168" s="550"/>
      <c r="H168" s="550"/>
      <c r="I168" s="550"/>
      <c r="J168" s="550"/>
      <c r="K168" s="550"/>
      <c r="L168" s="550"/>
      <c r="M168" s="550"/>
      <c r="N168" s="550"/>
      <c r="O168" s="550"/>
    </row>
    <row r="169" spans="1:15" ht="12.75">
      <c r="A169" s="543" t="s">
        <v>108</v>
      </c>
      <c r="B169" s="543">
        <v>0.08</v>
      </c>
      <c r="C169" s="550">
        <f>C21*$B169/100</f>
        <v>12398.4</v>
      </c>
      <c r="D169" s="550">
        <f>D21*$B169/100</f>
        <v>9979.2</v>
      </c>
      <c r="E169" s="550">
        <f>E21*$B169/100</f>
        <v>12364.8</v>
      </c>
      <c r="F169" s="550">
        <f>F21*$B169/100</f>
        <v>11592</v>
      </c>
      <c r="G169" s="550">
        <f>G21*$B169/100</f>
        <v>12398.4</v>
      </c>
      <c r="H169" s="550">
        <f>H21*$B169/100</f>
        <v>11592</v>
      </c>
      <c r="I169" s="550">
        <f>I21*$B169/100</f>
        <v>12398.4</v>
      </c>
      <c r="J169" s="550">
        <f>J21*$B169/100</f>
        <v>12398.4</v>
      </c>
      <c r="K169" s="550">
        <f>K21*$B169/100</f>
        <v>11592</v>
      </c>
      <c r="L169" s="550">
        <f>L21*$B169/100</f>
        <v>12398.4</v>
      </c>
      <c r="M169" s="550">
        <f>M21*$B169/100</f>
        <v>11592</v>
      </c>
      <c r="N169" s="550">
        <f>N21*$B169/100</f>
        <v>12398.4</v>
      </c>
      <c r="O169" s="550">
        <f>SUM(B169:N169)</f>
        <v>143102.47999999998</v>
      </c>
    </row>
    <row r="170" spans="1:15" ht="12.75">
      <c r="A170" s="543" t="s">
        <v>151</v>
      </c>
      <c r="B170" s="543">
        <v>0.08</v>
      </c>
      <c r="C170" s="550">
        <f>C24*$B170/100</f>
        <v>0</v>
      </c>
      <c r="D170" s="550">
        <f>D24*$B170/100</f>
        <v>0</v>
      </c>
      <c r="E170" s="550">
        <f>E24*$B170/100</f>
        <v>0</v>
      </c>
      <c r="F170" s="550">
        <f>F24*$B170/100</f>
        <v>0</v>
      </c>
      <c r="G170" s="550">
        <f>G24*$B170/100</f>
        <v>0</v>
      </c>
      <c r="H170" s="550">
        <f>H24*$B170/100</f>
        <v>0</v>
      </c>
      <c r="I170" s="550">
        <f>I24*$B170/100</f>
        <v>0</v>
      </c>
      <c r="J170" s="550">
        <f>J24*$B170/100</f>
        <v>0</v>
      </c>
      <c r="K170" s="550">
        <f>K24*$B170/100</f>
        <v>0</v>
      </c>
      <c r="L170" s="550">
        <f>L24*$B170/100</f>
        <v>0</v>
      </c>
      <c r="M170" s="550">
        <f>M24*$B170/100</f>
        <v>0</v>
      </c>
      <c r="N170" s="550">
        <f>N24*$B170/100</f>
        <v>0</v>
      </c>
      <c r="O170" s="307">
        <f>SUM(B170:N170)</f>
        <v>0.08</v>
      </c>
    </row>
    <row r="171" spans="1:15" ht="12.75">
      <c r="A171" s="543" t="s">
        <v>161</v>
      </c>
      <c r="B171" s="543"/>
      <c r="C171" s="309">
        <f>SUM(C169:C170)</f>
        <v>12398.4</v>
      </c>
      <c r="D171" s="309">
        <f aca="true" t="shared" si="73" ref="D171:N171">SUM(D169:D170)</f>
        <v>9979.2</v>
      </c>
      <c r="E171" s="309">
        <f t="shared" si="73"/>
        <v>12364.8</v>
      </c>
      <c r="F171" s="309">
        <f t="shared" si="73"/>
        <v>11592</v>
      </c>
      <c r="G171" s="309">
        <f t="shared" si="73"/>
        <v>12398.4</v>
      </c>
      <c r="H171" s="309">
        <f t="shared" si="73"/>
        <v>11592</v>
      </c>
      <c r="I171" s="309">
        <f t="shared" si="73"/>
        <v>12398.4</v>
      </c>
      <c r="J171" s="309">
        <f t="shared" si="73"/>
        <v>12398.4</v>
      </c>
      <c r="K171" s="309">
        <f t="shared" si="73"/>
        <v>11592</v>
      </c>
      <c r="L171" s="309">
        <f t="shared" si="73"/>
        <v>12398.4</v>
      </c>
      <c r="M171" s="309">
        <f t="shared" si="73"/>
        <v>11592</v>
      </c>
      <c r="N171" s="309">
        <f t="shared" si="73"/>
        <v>12398.4</v>
      </c>
      <c r="O171" s="309">
        <f>SUM(O169:O170)</f>
        <v>143102.55999999997</v>
      </c>
    </row>
    <row r="172" spans="1:15" ht="12.75">
      <c r="A172" s="543"/>
      <c r="B172" s="543"/>
      <c r="C172" s="550"/>
      <c r="D172" s="550"/>
      <c r="E172" s="550"/>
      <c r="F172" s="550"/>
      <c r="G172" s="550"/>
      <c r="H172" s="550"/>
      <c r="I172" s="550"/>
      <c r="J172" s="550"/>
      <c r="K172" s="550"/>
      <c r="L172" s="550"/>
      <c r="M172" s="550"/>
      <c r="N172" s="550"/>
      <c r="O172" s="550"/>
    </row>
    <row r="173" spans="1:15" ht="12.75">
      <c r="A173" s="543" t="s">
        <v>49</v>
      </c>
      <c r="B173" s="543"/>
      <c r="C173" s="309">
        <f aca="true" t="shared" si="74" ref="C173:N173">C171+C166</f>
        <v>1294322.9012959795</v>
      </c>
      <c r="D173" s="309">
        <f t="shared" si="74"/>
        <v>1205173.7662262048</v>
      </c>
      <c r="E173" s="309">
        <f t="shared" si="74"/>
        <v>1237307.1388818738</v>
      </c>
      <c r="F173" s="309">
        <f t="shared" si="74"/>
        <v>1065574.6916186365</v>
      </c>
      <c r="G173" s="309">
        <f t="shared" si="74"/>
        <v>1035610.1300246757</v>
      </c>
      <c r="H173" s="309">
        <f t="shared" si="74"/>
        <v>940684.48678709</v>
      </c>
      <c r="I173" s="309">
        <f t="shared" si="74"/>
        <v>974628.0993222292</v>
      </c>
      <c r="J173" s="309">
        <f t="shared" si="74"/>
        <v>948298.2363002332</v>
      </c>
      <c r="K173" s="309">
        <f t="shared" si="74"/>
        <v>859663.7641985927</v>
      </c>
      <c r="L173" s="309">
        <f t="shared" si="74"/>
        <v>836252.4778519755</v>
      </c>
      <c r="M173" s="309">
        <f t="shared" si="74"/>
        <v>914821.4219223622</v>
      </c>
      <c r="N173" s="309">
        <f t="shared" si="74"/>
        <v>1086156.5277124601</v>
      </c>
      <c r="O173" s="309">
        <f>SUM(C173:N173)</f>
        <v>12398493.642142314</v>
      </c>
    </row>
    <row r="174" spans="1:15" ht="12.75">
      <c r="A174" s="543"/>
      <c r="B174" s="543"/>
      <c r="C174" s="543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</row>
    <row r="175" spans="1:15" ht="12.75">
      <c r="A175" s="212" t="s">
        <v>157</v>
      </c>
      <c r="B175" s="543"/>
      <c r="C175" s="543"/>
      <c r="D175" s="543"/>
      <c r="E175" s="543"/>
      <c r="F175" s="543"/>
      <c r="G175" s="543"/>
      <c r="H175" s="543"/>
      <c r="I175" s="543"/>
      <c r="J175" s="543"/>
      <c r="K175" s="543"/>
      <c r="L175" s="543"/>
      <c r="M175" s="543"/>
      <c r="N175" s="543"/>
      <c r="O175" s="543"/>
    </row>
    <row r="176" spans="1:15" ht="12.75">
      <c r="A176" s="543" t="s">
        <v>43</v>
      </c>
      <c r="B176" s="543"/>
      <c r="C176" s="543"/>
      <c r="D176" s="543"/>
      <c r="E176" s="543"/>
      <c r="F176" s="543"/>
      <c r="G176" s="543"/>
      <c r="H176" s="543"/>
      <c r="I176" s="543"/>
      <c r="J176" s="543"/>
      <c r="K176" s="543"/>
      <c r="L176" s="543"/>
      <c r="M176" s="543"/>
      <c r="N176" s="543"/>
      <c r="O176" s="543"/>
    </row>
    <row r="177" spans="1:15" ht="12.75">
      <c r="A177" s="543" t="s">
        <v>135</v>
      </c>
      <c r="B177" s="543"/>
      <c r="C177" s="548">
        <f>C134-C156</f>
        <v>0</v>
      </c>
      <c r="D177" s="548">
        <f>D134-D156</f>
        <v>0</v>
      </c>
      <c r="E177" s="548">
        <f>E134-E156</f>
        <v>0</v>
      </c>
      <c r="F177" s="548">
        <f>F134-F156</f>
        <v>0</v>
      </c>
      <c r="G177" s="548">
        <f>G134-G156</f>
        <v>0</v>
      </c>
      <c r="H177" s="548">
        <f>H134-H156</f>
        <v>0</v>
      </c>
      <c r="I177" s="548">
        <f>I134-I156</f>
        <v>0</v>
      </c>
      <c r="J177" s="548">
        <f>J134-J156</f>
        <v>0</v>
      </c>
      <c r="K177" s="548">
        <f>K134-K156</f>
        <v>0</v>
      </c>
      <c r="L177" s="548">
        <f>L134-L156</f>
        <v>0</v>
      </c>
      <c r="M177" s="548">
        <f>M134-M156</f>
        <v>0</v>
      </c>
      <c r="N177" s="548">
        <f>N134-N156</f>
        <v>0</v>
      </c>
      <c r="O177" s="548">
        <f>SUM(C177:N177)</f>
        <v>0</v>
      </c>
    </row>
    <row r="178" spans="1:15" ht="12.75">
      <c r="A178" s="543" t="s">
        <v>52</v>
      </c>
      <c r="B178" s="543"/>
      <c r="C178" s="548">
        <f>C135-C157</f>
        <v>5.4569682106375694E-11</v>
      </c>
      <c r="D178" s="548">
        <f>D135-D157</f>
        <v>0</v>
      </c>
      <c r="E178" s="548">
        <f>E135-E157</f>
        <v>0</v>
      </c>
      <c r="F178" s="548">
        <f>F135-F157</f>
        <v>0</v>
      </c>
      <c r="G178" s="548">
        <f>G135-G157</f>
        <v>0</v>
      </c>
      <c r="H178" s="548">
        <f>H135-H157</f>
        <v>0</v>
      </c>
      <c r="I178" s="548">
        <f>I135-I157</f>
        <v>0</v>
      </c>
      <c r="J178" s="548">
        <f>J135-J157</f>
        <v>0</v>
      </c>
      <c r="K178" s="548">
        <f>K135-K157</f>
        <v>0</v>
      </c>
      <c r="L178" s="548">
        <f>L135-L157</f>
        <v>0</v>
      </c>
      <c r="M178" s="548">
        <f>M135-M157</f>
        <v>0</v>
      </c>
      <c r="N178" s="548">
        <f>N135-N157</f>
        <v>0</v>
      </c>
      <c r="O178" s="548">
        <f aca="true" t="shared" si="75" ref="O178:O187">SUM(C178:N178)</f>
        <v>5.4569682106375694E-11</v>
      </c>
    </row>
    <row r="179" spans="1:15" ht="12.75">
      <c r="A179" s="543" t="s">
        <v>53</v>
      </c>
      <c r="B179" s="543"/>
      <c r="C179" s="548">
        <f>C136-C158</f>
        <v>0</v>
      </c>
      <c r="D179" s="548">
        <f>D136-D158</f>
        <v>0</v>
      </c>
      <c r="E179" s="548">
        <f>E136-E158</f>
        <v>0</v>
      </c>
      <c r="F179" s="548">
        <f>F136-F158</f>
        <v>0</v>
      </c>
      <c r="G179" s="548">
        <f>G136-G158</f>
        <v>0</v>
      </c>
      <c r="H179" s="548">
        <f>H136-H158</f>
        <v>0</v>
      </c>
      <c r="I179" s="548">
        <f>I136-I158</f>
        <v>0</v>
      </c>
      <c r="J179" s="548">
        <f>J136-J158</f>
        <v>0</v>
      </c>
      <c r="K179" s="548">
        <f>K136-K158</f>
        <v>0</v>
      </c>
      <c r="L179" s="548">
        <f>L136-L158</f>
        <v>0</v>
      </c>
      <c r="M179" s="548">
        <f>M136-M158</f>
        <v>0</v>
      </c>
      <c r="N179" s="548">
        <f>N136-N158</f>
        <v>0</v>
      </c>
      <c r="O179" s="548">
        <f t="shared" si="75"/>
        <v>0</v>
      </c>
    </row>
    <row r="180" spans="1:15" ht="12.75">
      <c r="A180" s="543" t="s">
        <v>54</v>
      </c>
      <c r="B180" s="543"/>
      <c r="C180" s="548">
        <f>C137-C159</f>
        <v>0</v>
      </c>
      <c r="D180" s="548">
        <f>D137-D159</f>
        <v>0</v>
      </c>
      <c r="E180" s="548">
        <f>E137-E159</f>
        <v>0</v>
      </c>
      <c r="F180" s="548">
        <f>F137-F159</f>
        <v>0</v>
      </c>
      <c r="G180" s="548">
        <f>G137-G159</f>
        <v>0</v>
      </c>
      <c r="H180" s="548">
        <f>H137-H159</f>
        <v>0</v>
      </c>
      <c r="I180" s="548">
        <f>I137-I159</f>
        <v>0</v>
      </c>
      <c r="J180" s="548">
        <f>J137-J159</f>
        <v>0</v>
      </c>
      <c r="K180" s="548">
        <f>K137-K159</f>
        <v>0</v>
      </c>
      <c r="L180" s="548">
        <f>L137-L159</f>
        <v>0</v>
      </c>
      <c r="M180" s="548">
        <f>M137-M159</f>
        <v>0</v>
      </c>
      <c r="N180" s="548">
        <f>N137-N159</f>
        <v>0</v>
      </c>
      <c r="O180" s="548">
        <f t="shared" si="75"/>
        <v>0</v>
      </c>
    </row>
    <row r="181" spans="1:15" ht="12.75">
      <c r="A181" s="543" t="s">
        <v>55</v>
      </c>
      <c r="B181" s="543"/>
      <c r="C181" s="548">
        <f>C138-C160</f>
        <v>0</v>
      </c>
      <c r="D181" s="548">
        <f>D138-D160</f>
        <v>0</v>
      </c>
      <c r="E181" s="548">
        <f>E138-E160</f>
        <v>0</v>
      </c>
      <c r="F181" s="548">
        <f>F138-F160</f>
        <v>0</v>
      </c>
      <c r="G181" s="548">
        <f>G138-G160</f>
        <v>0</v>
      </c>
      <c r="H181" s="548">
        <f>H138-H160</f>
        <v>0</v>
      </c>
      <c r="I181" s="548">
        <f>I138-I160</f>
        <v>0</v>
      </c>
      <c r="J181" s="548">
        <f>J138-J160</f>
        <v>0</v>
      </c>
      <c r="K181" s="548">
        <f>K138-K160</f>
        <v>0</v>
      </c>
      <c r="L181" s="548">
        <f>L138-L160</f>
        <v>0</v>
      </c>
      <c r="M181" s="548">
        <f>M138-M160</f>
        <v>0</v>
      </c>
      <c r="N181" s="548">
        <f>N138-N160</f>
        <v>0</v>
      </c>
      <c r="O181" s="548">
        <f t="shared" si="75"/>
        <v>0</v>
      </c>
    </row>
    <row r="182" spans="1:15" ht="12.75">
      <c r="A182" s="543" t="s">
        <v>56</v>
      </c>
      <c r="B182" s="543"/>
      <c r="C182" s="548">
        <f>C139-C161</f>
        <v>0</v>
      </c>
      <c r="D182" s="548">
        <f>D139-D161</f>
        <v>0</v>
      </c>
      <c r="E182" s="548">
        <f>E139-E161</f>
        <v>0</v>
      </c>
      <c r="F182" s="548">
        <f>F139-F161</f>
        <v>0</v>
      </c>
      <c r="G182" s="548">
        <f>G139-G161</f>
        <v>0</v>
      </c>
      <c r="H182" s="548">
        <f>H139-H161</f>
        <v>0</v>
      </c>
      <c r="I182" s="548">
        <f>I139-I161</f>
        <v>0</v>
      </c>
      <c r="J182" s="548">
        <f>J139-J161</f>
        <v>0</v>
      </c>
      <c r="K182" s="548">
        <f>K139-K161</f>
        <v>0</v>
      </c>
      <c r="L182" s="548">
        <f>L139-L161</f>
        <v>0</v>
      </c>
      <c r="M182" s="548">
        <f>M139-M161</f>
        <v>0</v>
      </c>
      <c r="N182" s="548">
        <f>N139-N161</f>
        <v>0</v>
      </c>
      <c r="O182" s="548">
        <f t="shared" si="75"/>
        <v>0</v>
      </c>
    </row>
    <row r="183" spans="1:15" ht="12.75">
      <c r="A183" s="543" t="s">
        <v>57</v>
      </c>
      <c r="B183" s="543"/>
      <c r="C183" s="548">
        <f>C140-C162</f>
        <v>0</v>
      </c>
      <c r="D183" s="548">
        <f>D140-D162</f>
        <v>0</v>
      </c>
      <c r="E183" s="548">
        <f>E140-E162</f>
        <v>0</v>
      </c>
      <c r="F183" s="548">
        <f>F140-F162</f>
        <v>0</v>
      </c>
      <c r="G183" s="548">
        <f>G140-G162</f>
        <v>0</v>
      </c>
      <c r="H183" s="548">
        <f>H140-H162</f>
        <v>0</v>
      </c>
      <c r="I183" s="548">
        <f>I140-I162</f>
        <v>0</v>
      </c>
      <c r="J183" s="548">
        <f>J140-J162</f>
        <v>0</v>
      </c>
      <c r="K183" s="548">
        <f>K140-K162</f>
        <v>0</v>
      </c>
      <c r="L183" s="548">
        <f>L140-L162</f>
        <v>0</v>
      </c>
      <c r="M183" s="548">
        <f>M140-M162</f>
        <v>0</v>
      </c>
      <c r="N183" s="548">
        <f>N140-N162</f>
        <v>0</v>
      </c>
      <c r="O183" s="548">
        <f t="shared" si="75"/>
        <v>0</v>
      </c>
    </row>
    <row r="184" spans="1:15" ht="12.75">
      <c r="A184" s="543" t="s">
        <v>61</v>
      </c>
      <c r="B184" s="543"/>
      <c r="C184" s="548">
        <f>C141-C163</f>
        <v>1533.4305900000327</v>
      </c>
      <c r="D184" s="542">
        <f>D141-D163</f>
        <v>-6019.151489999989</v>
      </c>
      <c r="E184" s="542">
        <f>E141-E163</f>
        <v>-10901.581949999993</v>
      </c>
      <c r="F184" s="542">
        <f>F141-F163</f>
        <v>-14532.665009999968</v>
      </c>
      <c r="G184" s="542">
        <f>G141-G163</f>
        <v>-19001.697059999977</v>
      </c>
      <c r="H184" s="542">
        <f>H141-H163</f>
        <v>-2663.643689999968</v>
      </c>
      <c r="I184" s="542">
        <f>I141-I163</f>
        <v>-20196.868469999958</v>
      </c>
      <c r="J184" s="542">
        <f>J141-J163</f>
        <v>-3409.5181799999555</v>
      </c>
      <c r="K184" s="548">
        <f>K141-K163</f>
        <v>3125.7156000000105</v>
      </c>
      <c r="L184" s="548">
        <f>L141-L163</f>
        <v>200.65137000000323</v>
      </c>
      <c r="M184" s="548">
        <f>M141-M163</f>
        <v>0</v>
      </c>
      <c r="N184" s="548">
        <f>N141-N163</f>
        <v>0</v>
      </c>
      <c r="O184" s="542">
        <f t="shared" si="75"/>
        <v>-71865.32828999976</v>
      </c>
    </row>
    <row r="185" spans="1:15" ht="12.75">
      <c r="A185" s="543" t="s">
        <v>58</v>
      </c>
      <c r="B185" s="543"/>
      <c r="C185" s="548">
        <f>C142-C164</f>
        <v>0</v>
      </c>
      <c r="D185" s="548">
        <f>D142-D164</f>
        <v>0</v>
      </c>
      <c r="E185" s="548">
        <f>E142-E164</f>
        <v>0</v>
      </c>
      <c r="F185" s="548">
        <f>F142-F164</f>
        <v>0</v>
      </c>
      <c r="G185" s="548">
        <f>G142-G164</f>
        <v>0</v>
      </c>
      <c r="H185" s="548">
        <f>H142-H164</f>
        <v>0</v>
      </c>
      <c r="I185" s="548">
        <f>I142-I164</f>
        <v>0</v>
      </c>
      <c r="J185" s="548">
        <f>J142-J164</f>
        <v>0</v>
      </c>
      <c r="K185" s="548">
        <f>K142-K164</f>
        <v>0</v>
      </c>
      <c r="L185" s="548">
        <f>L142-L164</f>
        <v>0</v>
      </c>
      <c r="M185" s="548">
        <f>M142-M164</f>
        <v>0</v>
      </c>
      <c r="N185" s="548">
        <f>N142-N164</f>
        <v>0</v>
      </c>
      <c r="O185" s="548">
        <f t="shared" si="75"/>
        <v>0</v>
      </c>
    </row>
    <row r="186" spans="1:15" ht="12.75">
      <c r="A186" s="543" t="s">
        <v>59</v>
      </c>
      <c r="B186" s="543"/>
      <c r="C186" s="548">
        <f>C143-C165</f>
        <v>0</v>
      </c>
      <c r="D186" s="548">
        <f>D143-D165</f>
        <v>0</v>
      </c>
      <c r="E186" s="548">
        <f>E143-E165</f>
        <v>0</v>
      </c>
      <c r="F186" s="548">
        <f>F143-F165</f>
        <v>0</v>
      </c>
      <c r="G186" s="548">
        <f>G143-G165</f>
        <v>0</v>
      </c>
      <c r="H186" s="548">
        <f>H143-H165</f>
        <v>0</v>
      </c>
      <c r="I186" s="548">
        <f>I143-I165</f>
        <v>0</v>
      </c>
      <c r="J186" s="548">
        <f>J143-J165</f>
        <v>0</v>
      </c>
      <c r="K186" s="548">
        <f>K143-K165</f>
        <v>0</v>
      </c>
      <c r="L186" s="548">
        <f>L143-L165</f>
        <v>0</v>
      </c>
      <c r="M186" s="548">
        <f>M143-M165</f>
        <v>0</v>
      </c>
      <c r="N186" s="548">
        <f>N143-N165</f>
        <v>0</v>
      </c>
      <c r="O186" s="548">
        <f t="shared" si="75"/>
        <v>0</v>
      </c>
    </row>
    <row r="187" spans="1:15" ht="12.75">
      <c r="A187" s="543" t="s">
        <v>63</v>
      </c>
      <c r="B187" s="543"/>
      <c r="C187" s="548">
        <f>SUM(C177:C186)</f>
        <v>1533.4305900000872</v>
      </c>
      <c r="D187" s="542">
        <f aca="true" t="shared" si="76" ref="D187:N187">SUM(D177:D186)</f>
        <v>-6019.151489999989</v>
      </c>
      <c r="E187" s="542">
        <f t="shared" si="76"/>
        <v>-10901.581949999993</v>
      </c>
      <c r="F187" s="542">
        <f t="shared" si="76"/>
        <v>-14532.665009999968</v>
      </c>
      <c r="G187" s="542">
        <f t="shared" si="76"/>
        <v>-19001.697059999977</v>
      </c>
      <c r="H187" s="542">
        <f t="shared" si="76"/>
        <v>-2663.643689999968</v>
      </c>
      <c r="I187" s="542">
        <f t="shared" si="76"/>
        <v>-20196.868469999958</v>
      </c>
      <c r="J187" s="542">
        <f t="shared" si="76"/>
        <v>-3409.5181799999555</v>
      </c>
      <c r="K187" s="548">
        <f t="shared" si="76"/>
        <v>3125.7156000000105</v>
      </c>
      <c r="L187" s="548">
        <f t="shared" si="76"/>
        <v>200.65137000000323</v>
      </c>
      <c r="M187" s="548">
        <f t="shared" si="76"/>
        <v>0</v>
      </c>
      <c r="N187" s="548">
        <f t="shared" si="76"/>
        <v>0</v>
      </c>
      <c r="O187" s="542">
        <f t="shared" si="75"/>
        <v>-71865.3282899997</v>
      </c>
    </row>
    <row r="188" spans="1:15" ht="12.75">
      <c r="A188" s="543"/>
      <c r="B188" s="543"/>
      <c r="C188" s="543"/>
      <c r="D188" s="543"/>
      <c r="E188" s="543"/>
      <c r="F188" s="543"/>
      <c r="G188" s="543"/>
      <c r="H188" s="543"/>
      <c r="I188" s="543"/>
      <c r="J188" s="543"/>
      <c r="K188" s="543"/>
      <c r="L188" s="543"/>
      <c r="M188" s="543"/>
      <c r="N188" s="543"/>
      <c r="O188" s="543"/>
    </row>
    <row r="189" spans="1:15" ht="12.75">
      <c r="A189" s="543" t="s">
        <v>130</v>
      </c>
      <c r="B189" s="543"/>
      <c r="C189" s="543"/>
      <c r="D189" s="543"/>
      <c r="E189" s="543"/>
      <c r="F189" s="543"/>
      <c r="G189" s="543"/>
      <c r="H189" s="543"/>
      <c r="I189" s="543"/>
      <c r="J189" s="543"/>
      <c r="K189" s="543"/>
      <c r="L189" s="543"/>
      <c r="M189" s="543"/>
      <c r="N189" s="543"/>
      <c r="O189" s="543"/>
    </row>
    <row r="190" spans="1:15" ht="12.75">
      <c r="A190" s="543" t="s">
        <v>108</v>
      </c>
      <c r="B190" s="543"/>
      <c r="C190" s="545">
        <f>C146-C169</f>
        <v>0</v>
      </c>
      <c r="D190" s="545">
        <f>D146-D169</f>
        <v>0</v>
      </c>
      <c r="E190" s="545">
        <f>E146-E169</f>
        <v>0</v>
      </c>
      <c r="F190" s="545">
        <f>F146-F169</f>
        <v>0</v>
      </c>
      <c r="G190" s="545">
        <f>G146-G169</f>
        <v>0</v>
      </c>
      <c r="H190" s="545">
        <f>H146-H169</f>
        <v>0</v>
      </c>
      <c r="I190" s="545">
        <f>I146-I169</f>
        <v>0</v>
      </c>
      <c r="J190" s="545">
        <f>J146-J169</f>
        <v>0</v>
      </c>
      <c r="K190" s="545">
        <f>K146-K169</f>
        <v>0</v>
      </c>
      <c r="L190" s="545">
        <f>L146-L169</f>
        <v>0</v>
      </c>
      <c r="M190" s="545">
        <f>M146-M169</f>
        <v>0</v>
      </c>
      <c r="N190" s="545">
        <f>N146-N169</f>
        <v>0</v>
      </c>
      <c r="O190" s="548">
        <f>SUM(C190:N190)</f>
        <v>0</v>
      </c>
    </row>
    <row r="191" spans="1:15" ht="12.75">
      <c r="A191" s="543" t="s">
        <v>151</v>
      </c>
      <c r="B191" s="543"/>
      <c r="C191" s="331">
        <f>C147-C170</f>
        <v>0</v>
      </c>
      <c r="D191" s="331">
        <f>D147-D170</f>
        <v>0</v>
      </c>
      <c r="E191" s="331">
        <f>E147-E170</f>
        <v>0</v>
      </c>
      <c r="F191" s="331">
        <f>F147-F170</f>
        <v>0</v>
      </c>
      <c r="G191" s="331">
        <f>G147-G170</f>
        <v>0</v>
      </c>
      <c r="H191" s="331">
        <f>H147-H170</f>
        <v>0</v>
      </c>
      <c r="I191" s="331">
        <f>I147-I170</f>
        <v>0</v>
      </c>
      <c r="J191" s="331">
        <f>J147-J170</f>
        <v>0</v>
      </c>
      <c r="K191" s="331">
        <f>K147-K170</f>
        <v>0</v>
      </c>
      <c r="L191" s="331">
        <f>L147-L170</f>
        <v>0</v>
      </c>
      <c r="M191" s="331">
        <f>M147-M170</f>
        <v>0</v>
      </c>
      <c r="N191" s="331">
        <f>N147-N170</f>
        <v>0</v>
      </c>
      <c r="O191" s="548">
        <f>SUM(C191:N191)</f>
        <v>0</v>
      </c>
    </row>
    <row r="192" spans="1:15" ht="12.75">
      <c r="A192" s="543" t="s">
        <v>161</v>
      </c>
      <c r="B192" s="543"/>
      <c r="C192" s="548">
        <f>SUM(C190:C191)</f>
        <v>0</v>
      </c>
      <c r="D192" s="548">
        <f aca="true" t="shared" si="77" ref="D192:N192">SUM(D190:D191)</f>
        <v>0</v>
      </c>
      <c r="E192" s="548">
        <f t="shared" si="77"/>
        <v>0</v>
      </c>
      <c r="F192" s="548">
        <f t="shared" si="77"/>
        <v>0</v>
      </c>
      <c r="G192" s="548">
        <f t="shared" si="77"/>
        <v>0</v>
      </c>
      <c r="H192" s="548">
        <f t="shared" si="77"/>
        <v>0</v>
      </c>
      <c r="I192" s="548">
        <f t="shared" si="77"/>
        <v>0</v>
      </c>
      <c r="J192" s="548">
        <f t="shared" si="77"/>
        <v>0</v>
      </c>
      <c r="K192" s="548">
        <f t="shared" si="77"/>
        <v>0</v>
      </c>
      <c r="L192" s="548">
        <f t="shared" si="77"/>
        <v>0</v>
      </c>
      <c r="M192" s="548">
        <f t="shared" si="77"/>
        <v>0</v>
      </c>
      <c r="N192" s="548">
        <f t="shared" si="77"/>
        <v>0</v>
      </c>
      <c r="O192" s="548">
        <f>SUM(C192:N192)</f>
        <v>0</v>
      </c>
    </row>
    <row r="193" spans="1:15" ht="12.75">
      <c r="A193" s="543"/>
      <c r="B193" s="543"/>
      <c r="C193" s="543"/>
      <c r="D193" s="543"/>
      <c r="E193" s="543"/>
      <c r="F193" s="543"/>
      <c r="G193" s="543"/>
      <c r="H193" s="543"/>
      <c r="I193" s="543"/>
      <c r="J193" s="543"/>
      <c r="K193" s="543"/>
      <c r="L193" s="543"/>
      <c r="M193" s="543"/>
      <c r="N193" s="543"/>
      <c r="O193" s="543"/>
    </row>
    <row r="194" spans="1:15" ht="12.75">
      <c r="A194" s="543" t="s">
        <v>49</v>
      </c>
      <c r="B194" s="543"/>
      <c r="C194" s="548">
        <f>C150-C173</f>
        <v>1533.4305900002364</v>
      </c>
      <c r="D194" s="542">
        <f>D150-D173</f>
        <v>-6019.151490000077</v>
      </c>
      <c r="E194" s="542">
        <f>E150-E173</f>
        <v>-10901.581950000254</v>
      </c>
      <c r="F194" s="542">
        <f>F150-F173</f>
        <v>-14532.66500999988</v>
      </c>
      <c r="G194" s="542">
        <f>G150-G173</f>
        <v>-19001.69705999992</v>
      </c>
      <c r="H194" s="542">
        <f>H150-H173</f>
        <v>-2663.643689999939</v>
      </c>
      <c r="I194" s="542">
        <f>I150-I173</f>
        <v>-20196.868470000103</v>
      </c>
      <c r="J194" s="542">
        <f>J150-J173</f>
        <v>-3409.5181799998973</v>
      </c>
      <c r="K194" s="548">
        <f>K150-K173</f>
        <v>3125.715599999996</v>
      </c>
      <c r="L194" s="548">
        <f>L150-L173</f>
        <v>200.6513700002106</v>
      </c>
      <c r="M194" s="548">
        <f>M150-M173</f>
        <v>0</v>
      </c>
      <c r="N194" s="548">
        <f>N150-N173</f>
        <v>0</v>
      </c>
      <c r="O194" s="542">
        <f>SUM(C194:N194)</f>
        <v>-71865.32828999963</v>
      </c>
    </row>
    <row r="195" spans="1:15" ht="12.75">
      <c r="A195" s="543"/>
      <c r="B195" s="543"/>
      <c r="C195" s="543"/>
      <c r="D195" s="543"/>
      <c r="E195" s="543"/>
      <c r="F195" s="543"/>
      <c r="G195" s="543"/>
      <c r="H195" s="543"/>
      <c r="I195" s="543"/>
      <c r="J195" s="543"/>
      <c r="K195" s="543"/>
      <c r="L195" s="543"/>
      <c r="M195" s="543"/>
      <c r="N195" s="543"/>
      <c r="O195" s="543"/>
    </row>
    <row r="196" spans="1:15" ht="12.75">
      <c r="A196" s="543" t="s">
        <v>283</v>
      </c>
      <c r="B196" s="543"/>
      <c r="C196" s="543"/>
      <c r="D196" s="543"/>
      <c r="E196" s="543"/>
      <c r="F196" s="543"/>
      <c r="G196" s="543"/>
      <c r="H196" s="543"/>
      <c r="I196" s="543"/>
      <c r="J196" s="543"/>
      <c r="K196" s="543"/>
      <c r="L196" s="543"/>
      <c r="M196" s="543"/>
      <c r="N196" s="543"/>
      <c r="O196" s="543"/>
    </row>
    <row r="197" spans="1:15" ht="12.75">
      <c r="A197" s="543" t="s">
        <v>284</v>
      </c>
      <c r="B197" s="553">
        <f>B99</f>
        <v>0.07870091037018022</v>
      </c>
      <c r="C197" s="543"/>
      <c r="D197" s="543"/>
      <c r="E197" s="543"/>
      <c r="F197" s="543"/>
      <c r="G197" s="543"/>
      <c r="H197" s="543"/>
      <c r="I197" s="543"/>
      <c r="J197" s="543"/>
      <c r="K197" s="543"/>
      <c r="L197" s="543"/>
      <c r="M197" s="543"/>
      <c r="N197" s="543"/>
      <c r="O197" s="543"/>
    </row>
    <row r="198" spans="1:15" ht="12.75">
      <c r="A198" s="543"/>
      <c r="B198" s="543"/>
      <c r="C198" s="543"/>
      <c r="D198" s="543"/>
      <c r="E198" s="543"/>
      <c r="F198" s="543"/>
      <c r="G198" s="543"/>
      <c r="H198" s="543"/>
      <c r="I198" s="543"/>
      <c r="J198" s="543"/>
      <c r="K198" s="543"/>
      <c r="L198" s="543"/>
      <c r="M198" s="543"/>
      <c r="N198" s="543"/>
      <c r="O198" s="543"/>
    </row>
    <row r="199" spans="1:15" ht="12.75">
      <c r="A199" s="543" t="s">
        <v>287</v>
      </c>
      <c r="B199" s="543"/>
      <c r="C199" s="543"/>
      <c r="D199" s="543"/>
      <c r="E199" s="543"/>
      <c r="F199" s="543"/>
      <c r="G199" s="543"/>
      <c r="H199" s="543"/>
      <c r="I199" s="543"/>
      <c r="J199" s="543"/>
      <c r="K199" s="543"/>
      <c r="L199" s="543"/>
      <c r="M199" s="543"/>
      <c r="N199" s="543"/>
      <c r="O199" s="543"/>
    </row>
    <row r="200" spans="1:15" ht="12.75">
      <c r="A200" s="543"/>
      <c r="B200" s="543"/>
      <c r="C200" s="543"/>
      <c r="D200" s="543"/>
      <c r="E200" s="543"/>
      <c r="F200" s="543"/>
      <c r="G200" s="543"/>
      <c r="H200" s="543"/>
      <c r="I200" s="543"/>
      <c r="J200" s="543"/>
      <c r="K200" s="543"/>
      <c r="L200" s="543"/>
      <c r="M200" s="543"/>
      <c r="N200" s="543"/>
      <c r="O200" s="543"/>
    </row>
    <row r="201" spans="1:15" ht="12.75">
      <c r="A201" s="543" t="s">
        <v>43</v>
      </c>
      <c r="B201" s="543"/>
      <c r="C201" s="543"/>
      <c r="D201" s="543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</row>
    <row r="202" spans="1:15" ht="12.75">
      <c r="A202" s="543" t="s">
        <v>133</v>
      </c>
      <c r="B202" s="543">
        <f>'BA Calculation'!AB16</f>
        <v>0.355</v>
      </c>
      <c r="C202" s="550">
        <f>C107*$B104/100</f>
        <v>188.00701013231156</v>
      </c>
      <c r="D202" s="550">
        <f>D107*$B104/100</f>
        <v>179.70060618394422</v>
      </c>
      <c r="E202" s="550">
        <f>E107*$B104/100</f>
        <v>185.93657117554986</v>
      </c>
      <c r="F202" s="550">
        <f>F107*$B104/100</f>
        <v>147.6309081060105</v>
      </c>
      <c r="G202" s="550">
        <f>G107*$B104/100</f>
        <v>147.8698012551093</v>
      </c>
      <c r="H202" s="550">
        <f>H107*$B104/100</f>
        <v>127.37102145684429</v>
      </c>
      <c r="I202" s="550">
        <f>I107*$B104/100</f>
        <v>131.0967286022797</v>
      </c>
      <c r="J202" s="550">
        <f>J107*$B104/100</f>
        <v>130.23823940729085</v>
      </c>
      <c r="K202" s="550">
        <f>K107*$B104/100</f>
        <v>132.6578593604842</v>
      </c>
      <c r="L202" s="550">
        <f>L107*$B104/100</f>
        <v>135.64186753981127</v>
      </c>
      <c r="M202" s="550">
        <f>M107*$B104/100</f>
        <v>133.10418961530777</v>
      </c>
      <c r="N202" s="550">
        <f>N107*$B104/100</f>
        <v>166.24510336067777</v>
      </c>
      <c r="O202" s="550">
        <f>SUM(B202:N202)</f>
        <v>1805.8549061956214</v>
      </c>
    </row>
    <row r="203" spans="1:15" ht="12.75">
      <c r="A203" s="543" t="s">
        <v>134</v>
      </c>
      <c r="B203" s="543">
        <f>'BA Calculation'!AB16</f>
        <v>0.355</v>
      </c>
      <c r="C203" s="550">
        <f>C108*$B105/100</f>
        <v>1677.0560737543449</v>
      </c>
      <c r="D203" s="550">
        <f>D108*$B105/100</f>
        <v>1591.5806955349005</v>
      </c>
      <c r="E203" s="550">
        <f>E108*$B105/100</f>
        <v>1597.2919343769288</v>
      </c>
      <c r="F203" s="550">
        <f>F108*$B105/100</f>
        <v>1357.4273884670226</v>
      </c>
      <c r="G203" s="550">
        <f>G108*$B105/100</f>
        <v>1330.7690761142626</v>
      </c>
      <c r="H203" s="550">
        <f>H108*$B105/100</f>
        <v>1324.85696933617</v>
      </c>
      <c r="I203" s="550">
        <f>I108*$B105/100</f>
        <v>1370.8469705632233</v>
      </c>
      <c r="J203" s="550">
        <f>J108*$B105/100</f>
        <v>1334.118519350295</v>
      </c>
      <c r="K203" s="550">
        <f>K108*$B105/100</f>
        <v>1277.0011920183372</v>
      </c>
      <c r="L203" s="550">
        <f>L108*$B105/100</f>
        <v>1380.215150465352</v>
      </c>
      <c r="M203" s="550">
        <f>M108*$B105/100</f>
        <v>1395.9581424561047</v>
      </c>
      <c r="N203" s="550">
        <f>N108*$B105/100</f>
        <v>1591.7605426038717</v>
      </c>
      <c r="O203" s="307">
        <f aca="true" t="shared" si="78" ref="O203:O214">SUM(B203:N203)</f>
        <v>17229.23765504081</v>
      </c>
    </row>
    <row r="204" spans="1:15" ht="12.75">
      <c r="A204" s="543" t="s">
        <v>135</v>
      </c>
      <c r="B204" s="543"/>
      <c r="C204" s="310">
        <f>SUM(C202:C203)</f>
        <v>1865.0630838866564</v>
      </c>
      <c r="D204" s="310">
        <f aca="true" t="shared" si="79" ref="D204:N204">SUM(D202:D203)</f>
        <v>1771.2813017188448</v>
      </c>
      <c r="E204" s="310">
        <f t="shared" si="79"/>
        <v>1783.2285055524787</v>
      </c>
      <c r="F204" s="310">
        <f t="shared" si="79"/>
        <v>1505.0582965730332</v>
      </c>
      <c r="G204" s="310">
        <f t="shared" si="79"/>
        <v>1478.6388773693718</v>
      </c>
      <c r="H204" s="310">
        <f t="shared" si="79"/>
        <v>1452.2279907930144</v>
      </c>
      <c r="I204" s="310">
        <f t="shared" si="79"/>
        <v>1501.943699165503</v>
      </c>
      <c r="J204" s="310">
        <f t="shared" si="79"/>
        <v>1464.3567587575858</v>
      </c>
      <c r="K204" s="310">
        <f t="shared" si="79"/>
        <v>1409.6590513788215</v>
      </c>
      <c r="L204" s="310">
        <f t="shared" si="79"/>
        <v>1515.8570180051634</v>
      </c>
      <c r="M204" s="310">
        <f t="shared" si="79"/>
        <v>1529.0623320714126</v>
      </c>
      <c r="N204" s="310">
        <f t="shared" si="79"/>
        <v>1758.0056459645496</v>
      </c>
      <c r="O204" s="310">
        <f t="shared" si="78"/>
        <v>19034.382561236434</v>
      </c>
    </row>
    <row r="205" spans="1:15" ht="12.75">
      <c r="A205" s="543" t="s">
        <v>52</v>
      </c>
      <c r="B205" s="543">
        <f>'BA Calculation'!AB18</f>
        <v>0.35</v>
      </c>
      <c r="C205" s="550">
        <f>C110*$B107/100</f>
        <v>147.27108307232172</v>
      </c>
      <c r="D205" s="550">
        <f>D110*$B107/100</f>
        <v>136.76366980505946</v>
      </c>
      <c r="E205" s="550">
        <f>E110*$B107/100</f>
        <v>146.84508027912005</v>
      </c>
      <c r="F205" s="550">
        <f>F110*$B107/100</f>
        <v>124.68522671670834</v>
      </c>
      <c r="G205" s="550">
        <f>G110*$B107/100</f>
        <v>128.3828726594504</v>
      </c>
      <c r="H205" s="550">
        <f>H110*$B107/100</f>
        <v>124.93122536605254</v>
      </c>
      <c r="I205" s="550">
        <f>I110*$B107/100</f>
        <v>142.20082777864852</v>
      </c>
      <c r="J205" s="550">
        <f>J110*$B107/100</f>
        <v>116.52720133984221</v>
      </c>
      <c r="K205" s="550">
        <f>K110*$B107/100</f>
        <v>130.91868443960175</v>
      </c>
      <c r="L205" s="550">
        <f>L110*$B107/100</f>
        <v>102.37708866327854</v>
      </c>
      <c r="M205" s="550">
        <f>M110*$B107/100</f>
        <v>127.70038259881865</v>
      </c>
      <c r="N205" s="550">
        <f>N110*$B107/100</f>
        <v>148.09199408604655</v>
      </c>
      <c r="O205" s="550">
        <f t="shared" si="78"/>
        <v>1577.0453368049486</v>
      </c>
    </row>
    <row r="206" spans="1:15" ht="12.75">
      <c r="A206" s="543" t="s">
        <v>53</v>
      </c>
      <c r="B206" s="543">
        <f>'BA Calculation'!AB19</f>
        <v>0.377</v>
      </c>
      <c r="C206" s="550">
        <f>C111*$B108/100</f>
        <v>200.69534784533454</v>
      </c>
      <c r="D206" s="550">
        <f>D111*$B108/100</f>
        <v>208.3924346731206</v>
      </c>
      <c r="E206" s="550">
        <f>E111*$B108/100</f>
        <v>233.2378696067314</v>
      </c>
      <c r="F206" s="550">
        <f>F111*$B108/100</f>
        <v>226.9371949007356</v>
      </c>
      <c r="G206" s="550">
        <f>G111*$B108/100</f>
        <v>205.65582862279297</v>
      </c>
      <c r="H206" s="550">
        <f>H111*$B108/100</f>
        <v>223.5889688246824</v>
      </c>
      <c r="I206" s="550">
        <f>I111*$B108/100</f>
        <v>222.54519837895893</v>
      </c>
      <c r="J206" s="550">
        <f>J111*$B108/100</f>
        <v>215.13518632302257</v>
      </c>
      <c r="K206" s="550">
        <f>K111*$B108/100</f>
        <v>231.62694523690982</v>
      </c>
      <c r="L206" s="550">
        <f>L111*$B108/100</f>
        <v>224.6480982148632</v>
      </c>
      <c r="M206" s="550">
        <f>M111*$B108/100</f>
        <v>221.1066860503402</v>
      </c>
      <c r="N206" s="550">
        <f>N111*$B108/100</f>
        <v>225.23671672612724</v>
      </c>
      <c r="O206" s="550">
        <f t="shared" si="78"/>
        <v>2639.1834754036195</v>
      </c>
    </row>
    <row r="207" spans="1:15" ht="12.75">
      <c r="A207" s="543" t="s">
        <v>54</v>
      </c>
      <c r="B207" s="543">
        <f>'BA Calculation'!AB20</f>
        <v>0.363</v>
      </c>
      <c r="C207" s="550">
        <f>C112*$B109/100</f>
        <v>288.16427088345597</v>
      </c>
      <c r="D207" s="550">
        <f>D112*$B109/100</f>
        <v>270.89828417203205</v>
      </c>
      <c r="E207" s="550">
        <f>E112*$B109/100</f>
        <v>288.62748727005606</v>
      </c>
      <c r="F207" s="550">
        <f>F112*$B109/100</f>
        <v>281.460760786656</v>
      </c>
      <c r="G207" s="550">
        <f>G112*$B109/100</f>
        <v>285.3162535608</v>
      </c>
      <c r="H207" s="550">
        <f>H112*$B109/100</f>
        <v>288.309350604528</v>
      </c>
      <c r="I207" s="550">
        <f>I112*$B109/100</f>
        <v>286.66959126696</v>
      </c>
      <c r="J207" s="550">
        <f>J112*$B109/100</f>
        <v>295.55625404764805</v>
      </c>
      <c r="K207" s="550">
        <f>K112*$B109/100</f>
        <v>300.9070647182161</v>
      </c>
      <c r="L207" s="550">
        <f>L112*$B109/100</f>
        <v>288.450567628344</v>
      </c>
      <c r="M207" s="550">
        <f>M112*$B109/100</f>
        <v>295.45901818431093</v>
      </c>
      <c r="N207" s="550">
        <f>N112*$B109/100</f>
        <v>279.4446775704507</v>
      </c>
      <c r="O207" s="550">
        <f t="shared" si="78"/>
        <v>3449.626580693458</v>
      </c>
    </row>
    <row r="208" spans="1:15" ht="12.75">
      <c r="A208" s="543" t="s">
        <v>55</v>
      </c>
      <c r="B208" s="543">
        <f>'BA Calculation'!AB21</f>
        <v>0.34</v>
      </c>
      <c r="C208" s="550">
        <f>C113*$B110/100</f>
        <v>826.4130551999999</v>
      </c>
      <c r="D208" s="550">
        <f>D113*$B110/100</f>
        <v>778.886145</v>
      </c>
      <c r="E208" s="550">
        <f>E113*$B110/100</f>
        <v>876.9729449250002</v>
      </c>
      <c r="F208" s="550">
        <f>F113*$B110/100</f>
        <v>875.3566889250001</v>
      </c>
      <c r="G208" s="550">
        <f>G113*$B110/100</f>
        <v>923.0933781000001</v>
      </c>
      <c r="H208" s="550">
        <f>H113*$B110/100</f>
        <v>810.002980125</v>
      </c>
      <c r="I208" s="550">
        <f>I113*$B110/100</f>
        <v>925.903180575</v>
      </c>
      <c r="J208" s="550">
        <f>J113*$B110/100</f>
        <v>846.4543035749999</v>
      </c>
      <c r="K208" s="550">
        <f>K113*$B110/100</f>
        <v>444.31429095000004</v>
      </c>
      <c r="L208" s="550">
        <f>L113*$B110/100</f>
        <v>133.148335725</v>
      </c>
      <c r="M208" s="550">
        <f>M113*$B110/100</f>
        <v>194.67604800000004</v>
      </c>
      <c r="N208" s="550">
        <f>N113*$B110/100</f>
        <v>201.16524960000007</v>
      </c>
      <c r="O208" s="550">
        <f t="shared" si="78"/>
        <v>7836.726600700001</v>
      </c>
    </row>
    <row r="209" spans="1:15" ht="12.75">
      <c r="A209" s="543" t="s">
        <v>56</v>
      </c>
      <c r="B209" s="543">
        <f>'BA Calculation'!AB22</f>
        <v>0.328</v>
      </c>
      <c r="C209" s="550">
        <f>C114*$B111/100</f>
        <v>100.98217137000002</v>
      </c>
      <c r="D209" s="550">
        <f>D114*$B111/100</f>
        <v>95.40263391500001</v>
      </c>
      <c r="E209" s="550">
        <f>E114*$B111/100</f>
        <v>95.827419305</v>
      </c>
      <c r="F209" s="550">
        <f>F114*$B111/100</f>
        <v>77.96812653500001</v>
      </c>
      <c r="G209" s="550">
        <f>G114*$B111/100</f>
        <v>69.52871756</v>
      </c>
      <c r="H209" s="550">
        <f>H114*$B111/100</f>
        <v>62.554393405</v>
      </c>
      <c r="I209" s="550">
        <f>I114*$B111/100</f>
        <v>67.28966112</v>
      </c>
      <c r="J209" s="550">
        <f>J114*$B111/100</f>
        <v>67.075854155</v>
      </c>
      <c r="K209" s="550">
        <f>K114*$B111/100</f>
        <v>65.56124516000001</v>
      </c>
      <c r="L209" s="550">
        <f>L114*$B111/100</f>
        <v>75.445019405</v>
      </c>
      <c r="M209" s="550">
        <f>M114*$B111/100</f>
        <v>82.6150963591937</v>
      </c>
      <c r="N209" s="550">
        <f>N114*$B111/100</f>
        <v>98.00941200858065</v>
      </c>
      <c r="O209" s="550">
        <f t="shared" si="78"/>
        <v>958.5877502977744</v>
      </c>
    </row>
    <row r="210" spans="1:15" ht="12.75">
      <c r="A210" s="543" t="s">
        <v>57</v>
      </c>
      <c r="B210" s="543">
        <f>'BA Calculation'!AB23</f>
        <v>0.339</v>
      </c>
      <c r="C210" s="550">
        <f>C115*$B112/100</f>
        <v>36.9854091611972</v>
      </c>
      <c r="D210" s="550">
        <f>D115*$B112/100</f>
        <v>37.21577476676593</v>
      </c>
      <c r="E210" s="550">
        <f>E115*$B112/100</f>
        <v>41.430157088808684</v>
      </c>
      <c r="F210" s="550">
        <f>F115*$B112/100</f>
        <v>38.50187167155516</v>
      </c>
      <c r="G210" s="550">
        <f>G115*$B112/100</f>
        <v>41.3478493381094</v>
      </c>
      <c r="H210" s="550">
        <f>H115*$B112/100</f>
        <v>37.35956356856624</v>
      </c>
      <c r="I210" s="550">
        <f>I115*$B112/100</f>
        <v>38.96994174821917</v>
      </c>
      <c r="J210" s="550">
        <f>J115*$B112/100</f>
        <v>39.789181650972694</v>
      </c>
      <c r="K210" s="550">
        <f>K115*$B112/100</f>
        <v>41.2172769342533</v>
      </c>
      <c r="L210" s="550">
        <f>L115*$B112/100</f>
        <v>38.76884764549879</v>
      </c>
      <c r="M210" s="550">
        <f>M115*$B112/100</f>
        <v>41.866456170830276</v>
      </c>
      <c r="N210" s="550">
        <f>N115*$B112/100</f>
        <v>42.128848874483936</v>
      </c>
      <c r="O210" s="550">
        <f t="shared" si="78"/>
        <v>475.92017861926075</v>
      </c>
    </row>
    <row r="211" spans="1:15" ht="12.75">
      <c r="A211" s="543" t="s">
        <v>61</v>
      </c>
      <c r="B211" s="543">
        <f>'BA Calculation'!AB24</f>
        <v>0.379</v>
      </c>
      <c r="C211" s="550">
        <f>C116*$B113/100</f>
        <v>6496.799247650967</v>
      </c>
      <c r="D211" s="550">
        <f>D116*$B113/100</f>
        <v>6043.173472910979</v>
      </c>
      <c r="E211" s="550">
        <f>E116*$B113/100</f>
        <v>6153.9411960146135</v>
      </c>
      <c r="F211" s="550">
        <f>F116*$B113/100</f>
        <v>5246.418380326671</v>
      </c>
      <c r="G211" s="550">
        <f>G116*$B113/100</f>
        <v>5068.335933469692</v>
      </c>
      <c r="H211" s="550">
        <f>H116*$B113/100</f>
        <v>4561.468790176772</v>
      </c>
      <c r="I211" s="550">
        <f>I116*$B113/100</f>
        <v>4701.811711163471</v>
      </c>
      <c r="J211" s="550">
        <f>J116*$B113/100</f>
        <v>4581.008444961336</v>
      </c>
      <c r="K211" s="550">
        <f>K116*$B113/100</f>
        <v>4178.199141321847</v>
      </c>
      <c r="L211" s="550">
        <f>L116*$B113/100</f>
        <v>4115.95144067362</v>
      </c>
      <c r="M211" s="550">
        <f>M116*$B113/100</f>
        <v>4543.707488374483</v>
      </c>
      <c r="N211" s="550">
        <f>N116*$B113/100</f>
        <v>5474.63830256781</v>
      </c>
      <c r="O211" s="550">
        <f t="shared" si="78"/>
        <v>61165.832549612256</v>
      </c>
    </row>
    <row r="212" spans="1:15" ht="12.75">
      <c r="A212" s="543" t="s">
        <v>58</v>
      </c>
      <c r="B212" s="543">
        <f>'BA Calculation'!AB25</f>
        <v>0.361</v>
      </c>
      <c r="C212" s="550">
        <f>C117*$B114/100</f>
        <v>0</v>
      </c>
      <c r="D212" s="550">
        <f>D117*$B114/100</f>
        <v>0</v>
      </c>
      <c r="E212" s="550">
        <f>E117*$B114/100</f>
        <v>0</v>
      </c>
      <c r="F212" s="550">
        <f>F117*$B114/100</f>
        <v>0</v>
      </c>
      <c r="G212" s="550">
        <f>G117*$B114/100</f>
        <v>0</v>
      </c>
      <c r="H212" s="550">
        <f>H117*$B114/100</f>
        <v>0</v>
      </c>
      <c r="I212" s="550">
        <f>I117*$B114/100</f>
        <v>0</v>
      </c>
      <c r="J212" s="550">
        <f>J117*$B114/100</f>
        <v>0</v>
      </c>
      <c r="K212" s="550">
        <f>K117*$B114/100</f>
        <v>0</v>
      </c>
      <c r="L212" s="550">
        <f>L117*$B114/100</f>
        <v>0</v>
      </c>
      <c r="M212" s="550">
        <f>M117*$B114/100</f>
        <v>0</v>
      </c>
      <c r="N212" s="550">
        <f>N117*$B114/100</f>
        <v>0</v>
      </c>
      <c r="O212" s="550">
        <f t="shared" si="78"/>
        <v>0.361</v>
      </c>
    </row>
    <row r="213" spans="1:15" ht="12.75">
      <c r="A213" s="543" t="s">
        <v>59</v>
      </c>
      <c r="B213" s="543">
        <f>'BA Calculation'!AB26</f>
        <v>0.377</v>
      </c>
      <c r="C213" s="550">
        <f>C118*$B115/100</f>
        <v>0</v>
      </c>
      <c r="D213" s="550">
        <f>D118*$B115/100</f>
        <v>0</v>
      </c>
      <c r="E213" s="550">
        <f>E118*$B115/100</f>
        <v>0</v>
      </c>
      <c r="F213" s="550">
        <f>F118*$B115/100</f>
        <v>0</v>
      </c>
      <c r="G213" s="550">
        <f>G118*$B115/100</f>
        <v>0</v>
      </c>
      <c r="H213" s="550">
        <f>H118*$B115/100</f>
        <v>0</v>
      </c>
      <c r="I213" s="550">
        <f>I118*$B115/100</f>
        <v>0</v>
      </c>
      <c r="J213" s="550">
        <f>J118*$B115/100</f>
        <v>0</v>
      </c>
      <c r="K213" s="550">
        <f>K118*$B115/100</f>
        <v>0</v>
      </c>
      <c r="L213" s="550">
        <f>L118*$B115/100</f>
        <v>0</v>
      </c>
      <c r="M213" s="550">
        <f>M118*$B115/100</f>
        <v>0</v>
      </c>
      <c r="N213" s="550">
        <f>N118*$B115/100</f>
        <v>0</v>
      </c>
      <c r="O213" s="307">
        <f t="shared" si="78"/>
        <v>0.377</v>
      </c>
    </row>
    <row r="214" spans="1:15" ht="12.75">
      <c r="A214" s="543" t="s">
        <v>63</v>
      </c>
      <c r="B214" s="543"/>
      <c r="C214" s="309">
        <f>SUM(C204:C213)</f>
        <v>9962.373669069933</v>
      </c>
      <c r="D214" s="309">
        <f aca="true" t="shared" si="80" ref="D214:N214">SUM(D204:D213)</f>
        <v>9342.013716961803</v>
      </c>
      <c r="E214" s="309">
        <f t="shared" si="80"/>
        <v>9620.11066004181</v>
      </c>
      <c r="F214" s="309">
        <f t="shared" si="80"/>
        <v>8376.386546435358</v>
      </c>
      <c r="G214" s="309">
        <f t="shared" si="80"/>
        <v>8200.299710680218</v>
      </c>
      <c r="H214" s="309">
        <f t="shared" si="80"/>
        <v>7560.443262863616</v>
      </c>
      <c r="I214" s="309">
        <f t="shared" si="80"/>
        <v>7887.3338111967605</v>
      </c>
      <c r="J214" s="309">
        <f t="shared" si="80"/>
        <v>7625.903184810407</v>
      </c>
      <c r="K214" s="309">
        <f t="shared" si="80"/>
        <v>6802.403700139649</v>
      </c>
      <c r="L214" s="309">
        <f t="shared" si="80"/>
        <v>6494.646415960768</v>
      </c>
      <c r="M214" s="309">
        <f t="shared" si="80"/>
        <v>7036.193507809388</v>
      </c>
      <c r="N214" s="309">
        <f t="shared" si="80"/>
        <v>8226.720847398048</v>
      </c>
      <c r="O214" s="309">
        <f t="shared" si="78"/>
        <v>97134.82903336774</v>
      </c>
    </row>
    <row r="215" spans="1:15" ht="12.75">
      <c r="A215" s="543"/>
      <c r="B215" s="543"/>
      <c r="C215" s="550"/>
      <c r="D215" s="550"/>
      <c r="E215" s="550"/>
      <c r="F215" s="550"/>
      <c r="G215" s="550"/>
      <c r="H215" s="550"/>
      <c r="I215" s="550"/>
      <c r="J215" s="550"/>
      <c r="K215" s="550"/>
      <c r="L215" s="550"/>
      <c r="M215" s="550"/>
      <c r="N215" s="550"/>
      <c r="O215" s="550"/>
    </row>
    <row r="216" spans="1:15" ht="12.75">
      <c r="A216" s="543" t="s">
        <v>130</v>
      </c>
      <c r="B216" s="543"/>
      <c r="C216" s="550"/>
      <c r="D216" s="550"/>
      <c r="E216" s="550"/>
      <c r="F216" s="550"/>
      <c r="G216" s="550"/>
      <c r="H216" s="550"/>
      <c r="I216" s="550"/>
      <c r="J216" s="550"/>
      <c r="K216" s="550"/>
      <c r="L216" s="550"/>
      <c r="M216" s="550"/>
      <c r="N216" s="550"/>
      <c r="O216" s="550"/>
    </row>
    <row r="217" spans="1:15" ht="12.75">
      <c r="A217" s="543" t="s">
        <v>108</v>
      </c>
      <c r="B217" s="543">
        <f>'BA Calculation'!AB29</f>
        <v>0.244</v>
      </c>
      <c r="C217" s="550">
        <f>C122*$B119/100</f>
        <v>0</v>
      </c>
      <c r="D217" s="550">
        <f>D122*$B119/100</f>
        <v>0</v>
      </c>
      <c r="E217" s="550">
        <f>E122*$B119/100</f>
        <v>0</v>
      </c>
      <c r="F217" s="550">
        <f>F122*$B119/100</f>
        <v>0</v>
      </c>
      <c r="G217" s="550">
        <f>G122*$B119/100</f>
        <v>0</v>
      </c>
      <c r="H217" s="550">
        <f>H122*$B119/100</f>
        <v>0</v>
      </c>
      <c r="I217" s="550">
        <f>I122*$B119/100</f>
        <v>0</v>
      </c>
      <c r="J217" s="550">
        <f>J122*$B119/100</f>
        <v>0</v>
      </c>
      <c r="K217" s="550">
        <f>K122*$B119/100</f>
        <v>0</v>
      </c>
      <c r="L217" s="550">
        <f>L122*$B119/100</f>
        <v>0</v>
      </c>
      <c r="M217" s="550">
        <f>M122*$B119/100</f>
        <v>0</v>
      </c>
      <c r="N217" s="550">
        <f>N122*$B119/100</f>
        <v>0</v>
      </c>
      <c r="O217" s="550">
        <f>SUM(B217:N217)</f>
        <v>0.244</v>
      </c>
    </row>
    <row r="218" spans="1:15" ht="12.75">
      <c r="A218" s="543" t="s">
        <v>151</v>
      </c>
      <c r="B218" s="543">
        <f>'BA Calculation'!AB29</f>
        <v>0.244</v>
      </c>
      <c r="C218" s="550">
        <f>C123*$B120/100</f>
        <v>4306.4016957236</v>
      </c>
      <c r="D218" s="550">
        <f>D123*$B120/100</f>
        <v>4001.9223670665997</v>
      </c>
      <c r="E218" s="550">
        <f>E123*$B120/100</f>
        <v>4081.331651267212</v>
      </c>
      <c r="F218" s="550">
        <f>F123*$B120/100</f>
        <v>3482.9288605869656</v>
      </c>
      <c r="G218" s="550">
        <f>G123*$B120/100</f>
        <v>3371.753008126185</v>
      </c>
      <c r="H218" s="550">
        <f>H123*$B120/100</f>
        <v>3032.0405496985095</v>
      </c>
      <c r="I218" s="550">
        <f>I123*$B120/100</f>
        <v>3131.0929970874386</v>
      </c>
      <c r="J218" s="550">
        <f>J123*$B120/100</f>
        <v>3050.519638351917</v>
      </c>
      <c r="K218" s="550">
        <f>K123*$B120/100</f>
        <v>2781.3574059237035</v>
      </c>
      <c r="L218" s="550">
        <f>L123*$B120/100</f>
        <v>2747.3295138916965</v>
      </c>
      <c r="M218" s="550">
        <f>M123*$B120/100</f>
        <v>3023.357995287679</v>
      </c>
      <c r="N218" s="550">
        <f>N123*$B120/100</f>
        <v>3635.4810673073594</v>
      </c>
      <c r="O218" s="307">
        <f>SUM(B218:N218)</f>
        <v>40645.76075031887</v>
      </c>
    </row>
    <row r="219" spans="1:15" ht="12.75">
      <c r="A219" s="543" t="s">
        <v>161</v>
      </c>
      <c r="B219" s="543"/>
      <c r="C219" s="309">
        <f>SUM(C217:C218)</f>
        <v>4306.4016957236</v>
      </c>
      <c r="D219" s="309">
        <f aca="true" t="shared" si="81" ref="D219:N219">SUM(D217:D218)</f>
        <v>4001.9223670665997</v>
      </c>
      <c r="E219" s="309">
        <f t="shared" si="81"/>
        <v>4081.331651267212</v>
      </c>
      <c r="F219" s="309">
        <f t="shared" si="81"/>
        <v>3482.9288605869656</v>
      </c>
      <c r="G219" s="309">
        <f t="shared" si="81"/>
        <v>3371.753008126185</v>
      </c>
      <c r="H219" s="309">
        <f t="shared" si="81"/>
        <v>3032.0405496985095</v>
      </c>
      <c r="I219" s="309">
        <f t="shared" si="81"/>
        <v>3131.0929970874386</v>
      </c>
      <c r="J219" s="309">
        <f t="shared" si="81"/>
        <v>3050.519638351917</v>
      </c>
      <c r="K219" s="309">
        <f t="shared" si="81"/>
        <v>2781.3574059237035</v>
      </c>
      <c r="L219" s="309">
        <f t="shared" si="81"/>
        <v>2747.3295138916965</v>
      </c>
      <c r="M219" s="309">
        <f t="shared" si="81"/>
        <v>3023.357995287679</v>
      </c>
      <c r="N219" s="309">
        <f t="shared" si="81"/>
        <v>3635.4810673073594</v>
      </c>
      <c r="O219" s="309">
        <f>SUM(O217:O218)</f>
        <v>40646.00475031887</v>
      </c>
    </row>
    <row r="220" spans="1:15" ht="12.75">
      <c r="A220" s="543"/>
      <c r="B220" s="543"/>
      <c r="C220" s="550"/>
      <c r="D220" s="550"/>
      <c r="E220" s="550"/>
      <c r="F220" s="550"/>
      <c r="G220" s="550"/>
      <c r="H220" s="550"/>
      <c r="I220" s="550"/>
      <c r="J220" s="550"/>
      <c r="K220" s="550"/>
      <c r="L220" s="550"/>
      <c r="M220" s="550"/>
      <c r="N220" s="550"/>
      <c r="O220" s="550"/>
    </row>
    <row r="221" spans="1:15" ht="12.75">
      <c r="A221" s="543" t="s">
        <v>49</v>
      </c>
      <c r="B221" s="543"/>
      <c r="C221" s="309">
        <f>C219+C214</f>
        <v>14268.775364793533</v>
      </c>
      <c r="D221" s="309">
        <f aca="true" t="shared" si="82" ref="D221:N221">D219+D214</f>
        <v>13343.936084028403</v>
      </c>
      <c r="E221" s="309">
        <f t="shared" si="82"/>
        <v>13701.442311309022</v>
      </c>
      <c r="F221" s="309">
        <f t="shared" si="82"/>
        <v>11859.315407022325</v>
      </c>
      <c r="G221" s="309">
        <f t="shared" si="82"/>
        <v>11572.052718806402</v>
      </c>
      <c r="H221" s="309">
        <f t="shared" si="82"/>
        <v>10592.483812562125</v>
      </c>
      <c r="I221" s="309">
        <f t="shared" si="82"/>
        <v>11018.426808284199</v>
      </c>
      <c r="J221" s="309">
        <f t="shared" si="82"/>
        <v>10676.422823162324</v>
      </c>
      <c r="K221" s="309">
        <f t="shared" si="82"/>
        <v>9583.761106063354</v>
      </c>
      <c r="L221" s="309">
        <f t="shared" si="82"/>
        <v>9241.975929852464</v>
      </c>
      <c r="M221" s="309">
        <f t="shared" si="82"/>
        <v>10059.551503097067</v>
      </c>
      <c r="N221" s="309">
        <f t="shared" si="82"/>
        <v>11862.201914705407</v>
      </c>
      <c r="O221" s="309">
        <f>SUM(C221:N221)</f>
        <v>137780.34578368661</v>
      </c>
    </row>
    <row r="222" spans="1:15" ht="12.75">
      <c r="A222" s="543"/>
      <c r="B222" s="543"/>
      <c r="C222" s="543"/>
      <c r="D222" s="543"/>
      <c r="E222" s="543"/>
      <c r="F222" s="543"/>
      <c r="G222" s="543"/>
      <c r="H222" s="543"/>
      <c r="I222" s="543"/>
      <c r="J222" s="543"/>
      <c r="K222" s="543"/>
      <c r="L222" s="543"/>
      <c r="M222" s="543"/>
      <c r="N222" s="543"/>
      <c r="O222" s="543"/>
    </row>
    <row r="223" spans="1:15" ht="12.75">
      <c r="A223" s="543" t="s">
        <v>287</v>
      </c>
      <c r="B223" s="548">
        <f>'BA Calculation'!E32</f>
        <v>12640168.437096851</v>
      </c>
      <c r="C223" s="548">
        <f>'BA Calculation'!E32</f>
        <v>12640168.437096851</v>
      </c>
      <c r="D223" s="548">
        <f>C225</f>
        <v>11345845.53580087</v>
      </c>
      <c r="E223" s="548">
        <f aca="true" t="shared" si="83" ref="E223:N223">D225</f>
        <v>10140671.769574666</v>
      </c>
      <c r="F223" s="548">
        <f t="shared" si="83"/>
        <v>8903364.630692793</v>
      </c>
      <c r="G223" s="548">
        <f t="shared" si="83"/>
        <v>7837789.939074157</v>
      </c>
      <c r="H223" s="548">
        <f t="shared" si="83"/>
        <v>6802179.8090494815</v>
      </c>
      <c r="I223" s="548">
        <f t="shared" si="83"/>
        <v>5861495.322262391</v>
      </c>
      <c r="J223" s="548">
        <f t="shared" si="83"/>
        <v>4886867.222940162</v>
      </c>
      <c r="K223" s="548">
        <f t="shared" si="83"/>
        <v>3938568.9866399285</v>
      </c>
      <c r="L223" s="548">
        <f t="shared" si="83"/>
        <v>3078905.2224413357</v>
      </c>
      <c r="M223" s="548">
        <f t="shared" si="83"/>
        <v>2242652.7445893604</v>
      </c>
      <c r="N223" s="548">
        <f t="shared" si="83"/>
        <v>1327831.3226669983</v>
      </c>
      <c r="O223" s="548">
        <f>SUM(C223:N223)</f>
        <v>79006340.942829</v>
      </c>
    </row>
    <row r="224" spans="1:15" ht="12.75">
      <c r="A224" s="543" t="s">
        <v>285</v>
      </c>
      <c r="B224" s="543"/>
      <c r="C224" s="328">
        <f>C173</f>
        <v>1294322.9012959795</v>
      </c>
      <c r="D224" s="328">
        <f>D173</f>
        <v>1205173.7662262048</v>
      </c>
      <c r="E224" s="328">
        <f>E173</f>
        <v>1237307.1388818738</v>
      </c>
      <c r="F224" s="328">
        <f>F173</f>
        <v>1065574.6916186365</v>
      </c>
      <c r="G224" s="328">
        <f>G173</f>
        <v>1035610.1300246757</v>
      </c>
      <c r="H224" s="328">
        <f>H173</f>
        <v>940684.48678709</v>
      </c>
      <c r="I224" s="328">
        <f>I173</f>
        <v>974628.0993222292</v>
      </c>
      <c r="J224" s="328">
        <f>J173</f>
        <v>948298.2363002332</v>
      </c>
      <c r="K224" s="328">
        <f>K173</f>
        <v>859663.7641985927</v>
      </c>
      <c r="L224" s="328">
        <f>L173</f>
        <v>836252.4778519755</v>
      </c>
      <c r="M224" s="328">
        <f>M173</f>
        <v>914821.4219223622</v>
      </c>
      <c r="N224" s="328">
        <f>N173</f>
        <v>1086156.5277124601</v>
      </c>
      <c r="O224" s="548">
        <f>SUM(C224:N224)</f>
        <v>12398493.642142314</v>
      </c>
    </row>
    <row r="225" spans="1:15" ht="12.75">
      <c r="A225" s="543" t="s">
        <v>157</v>
      </c>
      <c r="B225" s="543"/>
      <c r="C225" s="548">
        <f>C223-C224</f>
        <v>11345845.53580087</v>
      </c>
      <c r="D225" s="548">
        <f>D223-D224</f>
        <v>10140671.769574666</v>
      </c>
      <c r="E225" s="548">
        <f aca="true" t="shared" si="84" ref="E225:N225">E223-E224</f>
        <v>8903364.630692793</v>
      </c>
      <c r="F225" s="548">
        <f t="shared" si="84"/>
        <v>7837789.939074157</v>
      </c>
      <c r="G225" s="548">
        <f t="shared" si="84"/>
        <v>6802179.8090494815</v>
      </c>
      <c r="H225" s="548">
        <f t="shared" si="84"/>
        <v>5861495.322262391</v>
      </c>
      <c r="I225" s="548">
        <f t="shared" si="84"/>
        <v>4886867.222940162</v>
      </c>
      <c r="J225" s="548">
        <f t="shared" si="84"/>
        <v>3938568.9866399285</v>
      </c>
      <c r="K225" s="548">
        <f t="shared" si="84"/>
        <v>3078905.2224413357</v>
      </c>
      <c r="L225" s="548">
        <f t="shared" si="84"/>
        <v>2242652.7445893604</v>
      </c>
      <c r="M225" s="548">
        <f t="shared" si="84"/>
        <v>1327831.3226669983</v>
      </c>
      <c r="N225" s="548">
        <f t="shared" si="84"/>
        <v>241674.7949545381</v>
      </c>
      <c r="O225" s="548">
        <f>SUM(C225:N225)</f>
        <v>66607847.30068669</v>
      </c>
    </row>
    <row r="226" spans="1:15" ht="12.75">
      <c r="A226" s="543" t="s">
        <v>286</v>
      </c>
      <c r="B226" s="543"/>
      <c r="C226" s="548">
        <f>$B$197/100*C225</f>
        <v>8929.283725869736</v>
      </c>
      <c r="D226" s="548">
        <f>$B$197/100*D225</f>
        <v>7980.801000307127</v>
      </c>
      <c r="E226" s="548">
        <f aca="true" t="shared" si="85" ref="E226:N226">$B$197/100*E225</f>
        <v>7007.029017931863</v>
      </c>
      <c r="F226" s="548">
        <f t="shared" si="85"/>
        <v>6168.412034953755</v>
      </c>
      <c r="G226" s="548">
        <f t="shared" si="85"/>
        <v>5353.377434738529</v>
      </c>
      <c r="H226" s="548">
        <f t="shared" si="85"/>
        <v>4613.050179926031</v>
      </c>
      <c r="I226" s="548">
        <f t="shared" si="85"/>
        <v>3846.008993035852</v>
      </c>
      <c r="J226" s="548">
        <f t="shared" si="85"/>
        <v>3099.6896480432056</v>
      </c>
      <c r="K226" s="548">
        <f t="shared" si="85"/>
        <v>2423.1264394963537</v>
      </c>
      <c r="L226" s="548">
        <f t="shared" si="85"/>
        <v>1764.9881264336593</v>
      </c>
      <c r="M226" s="548">
        <f t="shared" si="85"/>
        <v>1045.0153391193328</v>
      </c>
      <c r="N226" s="548">
        <f t="shared" si="85"/>
        <v>190.2002637644879</v>
      </c>
      <c r="O226" s="548">
        <f>SUM(C226:N226)</f>
        <v>52420.982203619926</v>
      </c>
    </row>
  </sheetData>
  <sheetProtection/>
  <conditionalFormatting sqref="B56:B75 B104:O119 C4:P84 B121:O123 B120 F120:G120 I120:O120 C86:P96 C85 E85:P85">
    <cfRule type="cellIs" priority="4" dxfId="0" operator="lessThan" stopIfTrue="1">
      <formula>0</formula>
    </cfRule>
  </conditionalFormatting>
  <conditionalFormatting sqref="C132:O150">
    <cfRule type="cellIs" priority="3" dxfId="0" operator="lessThan" stopIfTrue="1">
      <formula>0</formula>
    </cfRule>
  </conditionalFormatting>
  <conditionalFormatting sqref="C154:O173">
    <cfRule type="cellIs" priority="2" dxfId="0" operator="lessThan" stopIfTrue="1">
      <formula>0</formula>
    </cfRule>
  </conditionalFormatting>
  <conditionalFormatting sqref="C202:O221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2" horizontalDpi="600" verticalDpi="600" orientation="landscape" paperSize="17" scale="54" r:id="rId1"/>
  <rowBreaks count="2" manualBreakCount="2">
    <brk id="97" max="14" man="1"/>
    <brk id="19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O31"/>
  <sheetViews>
    <sheetView view="pageBreakPreview" zoomScale="60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24.00390625" style="50" customWidth="1"/>
    <col min="2" max="2" width="18.7109375" style="50" bestFit="1" customWidth="1"/>
    <col min="3" max="3" width="20.140625" style="50" bestFit="1" customWidth="1"/>
    <col min="4" max="4" width="19.00390625" style="50" bestFit="1" customWidth="1"/>
    <col min="5" max="5" width="17.57421875" style="50" bestFit="1" customWidth="1"/>
    <col min="6" max="6" width="18.00390625" style="50" bestFit="1" customWidth="1"/>
    <col min="7" max="7" width="17.7109375" style="50" bestFit="1" customWidth="1"/>
    <col min="8" max="8" width="18.28125" style="50" bestFit="1" customWidth="1"/>
    <col min="9" max="10" width="18.00390625" style="50" bestFit="1" customWidth="1"/>
    <col min="11" max="11" width="17.28125" style="50" bestFit="1" customWidth="1"/>
    <col min="12" max="12" width="17.7109375" style="50" bestFit="1" customWidth="1"/>
    <col min="13" max="13" width="19.421875" style="50" bestFit="1" customWidth="1"/>
    <col min="14" max="14" width="20.421875" style="50" bestFit="1" customWidth="1"/>
    <col min="15" max="15" width="15.00390625" style="50" bestFit="1" customWidth="1"/>
    <col min="16" max="16384" width="9.140625" style="50" customWidth="1"/>
  </cols>
  <sheetData>
    <row r="3" spans="1:14" s="344" customFormat="1" ht="12.75">
      <c r="A3" s="456" t="s">
        <v>126</v>
      </c>
      <c r="B3" s="455" t="s">
        <v>114</v>
      </c>
      <c r="C3" s="455" t="s">
        <v>115</v>
      </c>
      <c r="D3" s="455" t="s">
        <v>116</v>
      </c>
      <c r="E3" s="455" t="s">
        <v>117</v>
      </c>
      <c r="F3" s="455" t="s">
        <v>118</v>
      </c>
      <c r="G3" s="455" t="s">
        <v>119</v>
      </c>
      <c r="H3" s="455" t="s">
        <v>120</v>
      </c>
      <c r="I3" s="455" t="s">
        <v>121</v>
      </c>
      <c r="J3" s="455" t="s">
        <v>122</v>
      </c>
      <c r="K3" s="455" t="s">
        <v>123</v>
      </c>
      <c r="L3" s="455" t="s">
        <v>124</v>
      </c>
      <c r="M3" s="455" t="s">
        <v>125</v>
      </c>
      <c r="N3" s="455" t="s">
        <v>49</v>
      </c>
    </row>
    <row r="4" spans="1:14" ht="15.75">
      <c r="A4" s="248" t="s">
        <v>127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214"/>
    </row>
    <row r="5" ht="12.75">
      <c r="A5" s="212" t="s">
        <v>43</v>
      </c>
    </row>
    <row r="6" spans="1:14" ht="12.75">
      <c r="A6" s="189" t="s">
        <v>133</v>
      </c>
      <c r="B6" s="57">
        <v>499163301.3184339</v>
      </c>
      <c r="C6" s="57">
        <v>433816150.07748866</v>
      </c>
      <c r="D6" s="57">
        <v>434893043.9262909</v>
      </c>
      <c r="E6" s="57">
        <v>347393103.22798294</v>
      </c>
      <c r="F6" s="57">
        <v>315034794.5680765</v>
      </c>
      <c r="G6" s="57">
        <v>261044221.94733205</v>
      </c>
      <c r="H6" s="57">
        <v>263864324.72612455</v>
      </c>
      <c r="I6" s="57">
        <v>258875424.0124441</v>
      </c>
      <c r="J6" s="57">
        <v>258342178.87723064</v>
      </c>
      <c r="K6" s="57">
        <v>295220942.57098216</v>
      </c>
      <c r="L6" s="57">
        <v>341060150.28075904</v>
      </c>
      <c r="M6" s="57">
        <v>445876337.59579873</v>
      </c>
      <c r="N6" s="114">
        <f>SUM(B6:M6)</f>
        <v>4154583973.1289434</v>
      </c>
    </row>
    <row r="7" spans="1:14" ht="15">
      <c r="A7" s="189" t="s">
        <v>134</v>
      </c>
      <c r="B7" s="437">
        <v>30792208.67215784</v>
      </c>
      <c r="C7" s="437">
        <v>25983733.442053027</v>
      </c>
      <c r="D7" s="437">
        <v>25494426.316768616</v>
      </c>
      <c r="E7" s="437">
        <v>20691133.70630938</v>
      </c>
      <c r="F7" s="437">
        <v>15601414.235470291</v>
      </c>
      <c r="G7" s="437">
        <v>9875887.733646277</v>
      </c>
      <c r="H7" s="437">
        <v>8538975.576872598</v>
      </c>
      <c r="I7" s="437">
        <v>7935624.797547605</v>
      </c>
      <c r="J7" s="437">
        <v>8849148.609374203</v>
      </c>
      <c r="K7" s="437">
        <v>12456825.980610264</v>
      </c>
      <c r="L7" s="437">
        <v>18965498.22830268</v>
      </c>
      <c r="M7" s="437">
        <v>32769017.20642105</v>
      </c>
      <c r="N7" s="311">
        <f aca="true" t="shared" si="0" ref="N7:N17">SUM(B7:M7)</f>
        <v>217953894.5055338</v>
      </c>
    </row>
    <row r="8" spans="1:14" ht="12.75">
      <c r="A8" s="189" t="s">
        <v>135</v>
      </c>
      <c r="B8" s="114">
        <f>SUM(B6:B7)</f>
        <v>529955509.9905917</v>
      </c>
      <c r="C8" s="114">
        <f aca="true" t="shared" si="1" ref="C8:M8">SUM(C6:C7)</f>
        <v>459799883.5195417</v>
      </c>
      <c r="D8" s="114">
        <f t="shared" si="1"/>
        <v>460387470.2430595</v>
      </c>
      <c r="E8" s="114">
        <f t="shared" si="1"/>
        <v>368084236.9342923</v>
      </c>
      <c r="F8" s="114">
        <f t="shared" si="1"/>
        <v>330636208.8035468</v>
      </c>
      <c r="G8" s="114">
        <f t="shared" si="1"/>
        <v>270920109.68097836</v>
      </c>
      <c r="H8" s="114">
        <f t="shared" si="1"/>
        <v>272403300.3029972</v>
      </c>
      <c r="I8" s="114">
        <f t="shared" si="1"/>
        <v>266811048.80999172</v>
      </c>
      <c r="J8" s="114">
        <f t="shared" si="1"/>
        <v>267191327.48660484</v>
      </c>
      <c r="K8" s="114">
        <f t="shared" si="1"/>
        <v>307677768.5515924</v>
      </c>
      <c r="L8" s="114">
        <f t="shared" si="1"/>
        <v>360025648.5090617</v>
      </c>
      <c r="M8" s="114">
        <f t="shared" si="1"/>
        <v>478645354.8022198</v>
      </c>
      <c r="N8" s="114">
        <f t="shared" si="0"/>
        <v>4372537867.634478</v>
      </c>
    </row>
    <row r="9" spans="1:14" ht="12.75">
      <c r="A9" s="50" t="s">
        <v>52</v>
      </c>
      <c r="B9" s="57">
        <v>24058154.845294427</v>
      </c>
      <c r="C9" s="57">
        <v>22094774.36181779</v>
      </c>
      <c r="D9" s="57">
        <v>21160188.008371253</v>
      </c>
      <c r="E9" s="57">
        <v>17946423.39572243</v>
      </c>
      <c r="F9" s="57">
        <v>16444737.747166073</v>
      </c>
      <c r="G9" s="57">
        <v>15659988.17654896</v>
      </c>
      <c r="H9" s="57">
        <v>16138743.280104283</v>
      </c>
      <c r="I9" s="57">
        <v>16246669.973139472</v>
      </c>
      <c r="J9" s="57">
        <v>14709451.20135866</v>
      </c>
      <c r="K9" s="57">
        <v>16405657.494972058</v>
      </c>
      <c r="L9" s="57">
        <v>17173386.48989336</v>
      </c>
      <c r="M9" s="57">
        <v>21449297.87947748</v>
      </c>
      <c r="N9" s="114">
        <f t="shared" si="0"/>
        <v>219487472.8538662</v>
      </c>
    </row>
    <row r="10" spans="1:14" ht="12.75">
      <c r="A10" s="50" t="s">
        <v>53</v>
      </c>
      <c r="B10" s="57">
        <v>243205955.10071665</v>
      </c>
      <c r="C10" s="57">
        <v>228102250.4066153</v>
      </c>
      <c r="D10" s="57">
        <v>234588784.33955202</v>
      </c>
      <c r="E10" s="57">
        <v>202976381.90185183</v>
      </c>
      <c r="F10" s="57">
        <v>191339552.3801025</v>
      </c>
      <c r="G10" s="57">
        <v>193482797.9723198</v>
      </c>
      <c r="H10" s="57">
        <v>209260031.25709492</v>
      </c>
      <c r="I10" s="57">
        <v>203474422.03263745</v>
      </c>
      <c r="J10" s="57">
        <v>188749284.15007237</v>
      </c>
      <c r="K10" s="57">
        <v>197408094.62984383</v>
      </c>
      <c r="L10" s="57">
        <v>206245424.37864938</v>
      </c>
      <c r="M10" s="57">
        <v>235174192.28696376</v>
      </c>
      <c r="N10" s="114">
        <f t="shared" si="0"/>
        <v>2534007170.8364196</v>
      </c>
    </row>
    <row r="11" spans="1:14" ht="12.75">
      <c r="A11" s="50" t="s">
        <v>54</v>
      </c>
      <c r="B11" s="57">
        <v>33625608.09432742</v>
      </c>
      <c r="C11" s="57">
        <v>30826580.81628773</v>
      </c>
      <c r="D11" s="57">
        <v>33284416.830675602</v>
      </c>
      <c r="E11" s="57">
        <v>30577140.214623153</v>
      </c>
      <c r="F11" s="57">
        <v>30579815.99859363</v>
      </c>
      <c r="G11" s="57">
        <v>32043700.289774623</v>
      </c>
      <c r="H11" s="57">
        <v>36863861.123304866</v>
      </c>
      <c r="I11" s="57">
        <v>36370413.69035967</v>
      </c>
      <c r="J11" s="57">
        <v>33808763.759771176</v>
      </c>
      <c r="K11" s="57">
        <v>32195654.21732054</v>
      </c>
      <c r="L11" s="57">
        <v>31820043.285665907</v>
      </c>
      <c r="M11" s="57">
        <v>32355293.585801065</v>
      </c>
      <c r="N11" s="114">
        <f t="shared" si="0"/>
        <v>394351291.9065054</v>
      </c>
    </row>
    <row r="12" spans="1:14" ht="12.75">
      <c r="A12" s="50" t="s">
        <v>55</v>
      </c>
      <c r="B12" s="57">
        <v>22882334.648170777</v>
      </c>
      <c r="C12" s="57">
        <v>21937063.54647495</v>
      </c>
      <c r="D12" s="57">
        <v>22002210.118915882</v>
      </c>
      <c r="E12" s="57">
        <v>20991044.777444426</v>
      </c>
      <c r="F12" s="57">
        <v>21156517.936960444</v>
      </c>
      <c r="G12" s="57">
        <v>22086013.10299823</v>
      </c>
      <c r="H12" s="57">
        <v>22450831.91863234</v>
      </c>
      <c r="I12" s="57">
        <v>22408630.745059546</v>
      </c>
      <c r="J12" s="57">
        <v>20946371.614289336</v>
      </c>
      <c r="K12" s="57">
        <v>19291699.207396273</v>
      </c>
      <c r="L12" s="57">
        <v>21159327.513763577</v>
      </c>
      <c r="M12" s="57">
        <v>24538117.59419102</v>
      </c>
      <c r="N12" s="114">
        <f t="shared" si="0"/>
        <v>261850162.72429678</v>
      </c>
    </row>
    <row r="13" spans="1:14" ht="12.75">
      <c r="A13" s="50" t="s">
        <v>56</v>
      </c>
      <c r="B13" s="57">
        <v>44144421.004735865</v>
      </c>
      <c r="C13" s="57">
        <v>39831763.78971534</v>
      </c>
      <c r="D13" s="57">
        <v>42507306.38681646</v>
      </c>
      <c r="E13" s="57">
        <v>42360011.69169449</v>
      </c>
      <c r="F13" s="57">
        <v>41856357.27321426</v>
      </c>
      <c r="G13" s="57">
        <v>43819054.069839105</v>
      </c>
      <c r="H13" s="57">
        <v>43778788.14294194</v>
      </c>
      <c r="I13" s="57">
        <v>43826091.70166588</v>
      </c>
      <c r="J13" s="57">
        <v>42686817.48231351</v>
      </c>
      <c r="K13" s="57">
        <v>43041742.95740857</v>
      </c>
      <c r="L13" s="57">
        <v>42152101.93640309</v>
      </c>
      <c r="M13" s="57">
        <v>42939457.02347003</v>
      </c>
      <c r="N13" s="114">
        <f t="shared" si="0"/>
        <v>512943913.46021855</v>
      </c>
    </row>
    <row r="14" spans="1:14" ht="12.75">
      <c r="A14" s="50" t="s">
        <v>57</v>
      </c>
      <c r="B14" s="57">
        <v>75703038.55650288</v>
      </c>
      <c r="C14" s="57">
        <v>68601236.24047384</v>
      </c>
      <c r="D14" s="57">
        <v>75839465.45417616</v>
      </c>
      <c r="E14" s="57">
        <v>74997597.00112964</v>
      </c>
      <c r="F14" s="57">
        <v>77472134.77506858</v>
      </c>
      <c r="G14" s="57">
        <v>76701739.49801955</v>
      </c>
      <c r="H14" s="57">
        <v>78206345.13655725</v>
      </c>
      <c r="I14" s="57">
        <v>87481418.99747546</v>
      </c>
      <c r="J14" s="57">
        <v>81358107.12925717</v>
      </c>
      <c r="K14" s="57">
        <v>81777039.33301765</v>
      </c>
      <c r="L14" s="57">
        <v>79203168.02242666</v>
      </c>
      <c r="M14" s="57">
        <v>75302947.27839562</v>
      </c>
      <c r="N14" s="114">
        <f t="shared" si="0"/>
        <v>932644237.4225004</v>
      </c>
    </row>
    <row r="15" spans="1:14" ht="12.75">
      <c r="A15" s="45" t="s">
        <v>61</v>
      </c>
      <c r="B15" s="57">
        <v>153671712</v>
      </c>
      <c r="C15" s="57">
        <v>143757408</v>
      </c>
      <c r="D15" s="57">
        <v>153671712</v>
      </c>
      <c r="E15" s="57">
        <v>148714560</v>
      </c>
      <c r="F15" s="57">
        <v>153671712</v>
      </c>
      <c r="G15" s="57">
        <v>148714560</v>
      </c>
      <c r="H15" s="57">
        <v>153671712</v>
      </c>
      <c r="I15" s="57">
        <v>153671712</v>
      </c>
      <c r="J15" s="57">
        <v>148714560</v>
      </c>
      <c r="K15" s="57">
        <v>153671712</v>
      </c>
      <c r="L15" s="57">
        <v>148714560</v>
      </c>
      <c r="M15" s="57">
        <v>153671712</v>
      </c>
      <c r="N15" s="114">
        <f t="shared" si="0"/>
        <v>1814317632</v>
      </c>
    </row>
    <row r="16" spans="1:14" ht="12.75">
      <c r="A16" s="50" t="s">
        <v>58</v>
      </c>
      <c r="B16" s="57">
        <v>20909021.32042029</v>
      </c>
      <c r="C16" s="57">
        <v>19129220.002874926</v>
      </c>
      <c r="D16" s="57">
        <v>18619713.372918814</v>
      </c>
      <c r="E16" s="57">
        <v>15454118.849571884</v>
      </c>
      <c r="F16" s="57">
        <v>14136731.555427391</v>
      </c>
      <c r="G16" s="57">
        <v>13400646.457222233</v>
      </c>
      <c r="H16" s="57">
        <v>14718677.92978346</v>
      </c>
      <c r="I16" s="57">
        <v>14519719.893402142</v>
      </c>
      <c r="J16" s="57">
        <v>14198333.635772206</v>
      </c>
      <c r="K16" s="57">
        <v>15252395.376415223</v>
      </c>
      <c r="L16" s="57">
        <v>16990470.66396168</v>
      </c>
      <c r="M16" s="57">
        <v>20039214.640238285</v>
      </c>
      <c r="N16" s="114">
        <f t="shared" si="0"/>
        <v>197368263.69800854</v>
      </c>
    </row>
    <row r="17" spans="1:14" ht="15">
      <c r="A17" s="50" t="s">
        <v>59</v>
      </c>
      <c r="B17" s="437">
        <v>9721223.70921977</v>
      </c>
      <c r="C17" s="437">
        <v>9257728.574004222</v>
      </c>
      <c r="D17" s="437">
        <v>9705211.018701112</v>
      </c>
      <c r="E17" s="437">
        <v>9363232.250861643</v>
      </c>
      <c r="F17" s="437">
        <v>9921163.43997261</v>
      </c>
      <c r="G17" s="437">
        <v>9443188.210259667</v>
      </c>
      <c r="H17" s="437">
        <v>9281947.485614162</v>
      </c>
      <c r="I17" s="437">
        <v>9623606.007687492</v>
      </c>
      <c r="J17" s="437">
        <v>9720858.139667949</v>
      </c>
      <c r="K17" s="437">
        <v>9488896.813551757</v>
      </c>
      <c r="L17" s="437">
        <v>10074885.398105921</v>
      </c>
      <c r="M17" s="437">
        <v>10138028.464426681</v>
      </c>
      <c r="N17" s="311">
        <f t="shared" si="0"/>
        <v>115739969.51207298</v>
      </c>
    </row>
    <row r="18" spans="2:14" ht="12.75">
      <c r="B18" s="313">
        <f>SUM(B8:B17)</f>
        <v>1157876979.2699797</v>
      </c>
      <c r="C18" s="313">
        <f aca="true" t="shared" si="2" ref="C18:M18">SUM(C8:C17)</f>
        <v>1043337909.2578057</v>
      </c>
      <c r="D18" s="313">
        <f t="shared" si="2"/>
        <v>1071766477.7731869</v>
      </c>
      <c r="E18" s="313">
        <f t="shared" si="2"/>
        <v>931464747.0171919</v>
      </c>
      <c r="F18" s="313">
        <f t="shared" si="2"/>
        <v>887214931.9100524</v>
      </c>
      <c r="G18" s="313">
        <f t="shared" si="2"/>
        <v>826271797.4579605</v>
      </c>
      <c r="H18" s="313">
        <f t="shared" si="2"/>
        <v>856774238.5770304</v>
      </c>
      <c r="I18" s="313">
        <f t="shared" si="2"/>
        <v>854433733.8514187</v>
      </c>
      <c r="J18" s="313">
        <f t="shared" si="2"/>
        <v>822083874.5991073</v>
      </c>
      <c r="K18" s="313">
        <f t="shared" si="2"/>
        <v>876210660.5815183</v>
      </c>
      <c r="L18" s="313">
        <f t="shared" si="2"/>
        <v>933559016.1979312</v>
      </c>
      <c r="M18" s="313">
        <f t="shared" si="2"/>
        <v>1094253615.5551841</v>
      </c>
      <c r="N18" s="312">
        <f>SUM(N8:N17)</f>
        <v>11355247982.048367</v>
      </c>
    </row>
    <row r="19" ht="12.75">
      <c r="N19" s="114"/>
    </row>
    <row r="20" spans="1:14" ht="12.75">
      <c r="A20" s="212" t="s">
        <v>130</v>
      </c>
      <c r="N20" s="114"/>
    </row>
    <row r="21" spans="1:15" ht="12.75">
      <c r="A21" s="50" t="s">
        <v>108</v>
      </c>
      <c r="B21" s="57">
        <v>15498000</v>
      </c>
      <c r="C21" s="57">
        <v>13482000</v>
      </c>
      <c r="D21" s="57">
        <v>15498000</v>
      </c>
      <c r="E21" s="57">
        <v>14490000</v>
      </c>
      <c r="F21" s="57">
        <v>15498000</v>
      </c>
      <c r="G21" s="57">
        <v>14490000</v>
      </c>
      <c r="H21" s="57">
        <v>15498000</v>
      </c>
      <c r="I21" s="57">
        <v>15498000</v>
      </c>
      <c r="J21" s="57">
        <v>14490000</v>
      </c>
      <c r="K21" s="57">
        <v>15498000</v>
      </c>
      <c r="L21" s="57">
        <v>14490000</v>
      </c>
      <c r="M21" s="57">
        <v>15498000</v>
      </c>
      <c r="N21" s="114">
        <f>SUM(B21:M21)</f>
        <v>179928000</v>
      </c>
      <c r="O21" s="114"/>
    </row>
    <row r="22" spans="1:14" ht="12.75">
      <c r="A22" s="45" t="s">
        <v>67</v>
      </c>
      <c r="B22" s="438">
        <v>8578872</v>
      </c>
      <c r="C22" s="438">
        <v>8320560</v>
      </c>
      <c r="D22" s="438">
        <v>7626965.949999999</v>
      </c>
      <c r="E22" s="438">
        <v>8805992</v>
      </c>
      <c r="F22" s="438">
        <v>8030528.999999999</v>
      </c>
      <c r="G22" s="438">
        <v>7920793.049999999</v>
      </c>
      <c r="H22" s="438">
        <v>9180143</v>
      </c>
      <c r="I22" s="438">
        <v>10422773</v>
      </c>
      <c r="J22" s="438">
        <v>14026206</v>
      </c>
      <c r="K22" s="438">
        <v>9055569.649999999</v>
      </c>
      <c r="L22" s="438">
        <v>8653936.41</v>
      </c>
      <c r="M22" s="438">
        <v>7789142.999999999</v>
      </c>
      <c r="N22" s="114">
        <f>SUM(B22:M22)</f>
        <v>108411483.06</v>
      </c>
    </row>
    <row r="23" spans="1:14" ht="12.75">
      <c r="A23" s="50" t="s">
        <v>163</v>
      </c>
      <c r="B23" s="57">
        <v>15750000</v>
      </c>
      <c r="C23" s="57">
        <v>15750000</v>
      </c>
      <c r="D23" s="57">
        <v>15750000</v>
      </c>
      <c r="E23" s="57">
        <v>15750000</v>
      </c>
      <c r="F23" s="57">
        <v>15750000</v>
      </c>
      <c r="G23" s="57">
        <v>15750000</v>
      </c>
      <c r="H23" s="57">
        <v>15750000</v>
      </c>
      <c r="I23" s="57">
        <v>15750000</v>
      </c>
      <c r="J23" s="57">
        <v>15750000</v>
      </c>
      <c r="K23" s="57">
        <v>15750000</v>
      </c>
      <c r="L23" s="57">
        <v>15750000</v>
      </c>
      <c r="M23" s="57">
        <v>15750000</v>
      </c>
      <c r="N23" s="114">
        <f>SUM(B23:M23)</f>
        <v>189000000</v>
      </c>
    </row>
    <row r="24" spans="1:14" ht="12.75">
      <c r="A24" s="50" t="s">
        <v>151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14">
        <f>SUM(B24:M24)</f>
        <v>0</v>
      </c>
    </row>
    <row r="25" spans="1:14" ht="12.75">
      <c r="A25" s="212" t="s">
        <v>139</v>
      </c>
      <c r="B25" s="313">
        <f>SUM(B21:B24)</f>
        <v>39826872</v>
      </c>
      <c r="C25" s="313">
        <f aca="true" t="shared" si="3" ref="C25:M25">SUM(C21:C24)</f>
        <v>37552560</v>
      </c>
      <c r="D25" s="313">
        <f t="shared" si="3"/>
        <v>38874965.95</v>
      </c>
      <c r="E25" s="313">
        <f t="shared" si="3"/>
        <v>39045992</v>
      </c>
      <c r="F25" s="313">
        <f t="shared" si="3"/>
        <v>39278529</v>
      </c>
      <c r="G25" s="313">
        <f t="shared" si="3"/>
        <v>38160793.05</v>
      </c>
      <c r="H25" s="313">
        <f t="shared" si="3"/>
        <v>40428143</v>
      </c>
      <c r="I25" s="313">
        <f t="shared" si="3"/>
        <v>41670773</v>
      </c>
      <c r="J25" s="313">
        <f t="shared" si="3"/>
        <v>44266206</v>
      </c>
      <c r="K25" s="313">
        <f t="shared" si="3"/>
        <v>40303569.65</v>
      </c>
      <c r="L25" s="313">
        <f t="shared" si="3"/>
        <v>38893936.41</v>
      </c>
      <c r="M25" s="313">
        <f t="shared" si="3"/>
        <v>39037143</v>
      </c>
      <c r="N25" s="312">
        <f>SUM(N21:N24)</f>
        <v>477339483.06</v>
      </c>
    </row>
    <row r="26" ht="12.75">
      <c r="N26" s="114"/>
    </row>
    <row r="27" spans="1:14" ht="12.75">
      <c r="A27" s="212" t="s">
        <v>279</v>
      </c>
      <c r="B27" s="312">
        <f>B18+B25</f>
        <v>1197703851.2699797</v>
      </c>
      <c r="C27" s="312">
        <f aca="true" t="shared" si="4" ref="C27:M27">C18+C25</f>
        <v>1080890469.2578058</v>
      </c>
      <c r="D27" s="312">
        <f t="shared" si="4"/>
        <v>1110641443.723187</v>
      </c>
      <c r="E27" s="312">
        <f t="shared" si="4"/>
        <v>970510739.0171919</v>
      </c>
      <c r="F27" s="312">
        <f t="shared" si="4"/>
        <v>926493460.9100524</v>
      </c>
      <c r="G27" s="312">
        <f t="shared" si="4"/>
        <v>864432590.5079604</v>
      </c>
      <c r="H27" s="312">
        <f t="shared" si="4"/>
        <v>897202381.5770304</v>
      </c>
      <c r="I27" s="312">
        <f t="shared" si="4"/>
        <v>896104506.8514187</v>
      </c>
      <c r="J27" s="312">
        <f t="shared" si="4"/>
        <v>866350080.5991073</v>
      </c>
      <c r="K27" s="312">
        <f t="shared" si="4"/>
        <v>916514230.2315183</v>
      </c>
      <c r="L27" s="312">
        <f t="shared" si="4"/>
        <v>972452952.6079311</v>
      </c>
      <c r="M27" s="312">
        <f t="shared" si="4"/>
        <v>1133290758.5551841</v>
      </c>
      <c r="N27" s="312">
        <f>N18+N25</f>
        <v>11832587465.108366</v>
      </c>
    </row>
    <row r="28" ht="12.75">
      <c r="N28" s="114"/>
    </row>
    <row r="29" spans="1:14" ht="12.75">
      <c r="A29" s="278" t="s">
        <v>131</v>
      </c>
      <c r="B29" s="436">
        <v>1914</v>
      </c>
      <c r="C29" s="436">
        <v>1916</v>
      </c>
      <c r="D29" s="436">
        <v>6776</v>
      </c>
      <c r="E29" s="436">
        <v>0</v>
      </c>
      <c r="F29" s="436">
        <v>0</v>
      </c>
      <c r="G29" s="436">
        <v>3</v>
      </c>
      <c r="H29" s="436">
        <v>7760</v>
      </c>
      <c r="I29" s="436">
        <v>4847</v>
      </c>
      <c r="J29" s="436">
        <v>0</v>
      </c>
      <c r="K29" s="436">
        <v>2910</v>
      </c>
      <c r="L29" s="436">
        <v>1940</v>
      </c>
      <c r="M29" s="436">
        <v>5793</v>
      </c>
      <c r="N29" s="312">
        <f>SUM(B29:M29)</f>
        <v>33859</v>
      </c>
    </row>
    <row r="30" spans="1:14" ht="12.75">
      <c r="A30" s="278" t="s">
        <v>217</v>
      </c>
      <c r="B30" s="439">
        <v>59</v>
      </c>
      <c r="C30" s="439">
        <v>59</v>
      </c>
      <c r="D30" s="439">
        <v>210</v>
      </c>
      <c r="E30" s="439">
        <v>0</v>
      </c>
      <c r="F30" s="439">
        <v>0</v>
      </c>
      <c r="G30" s="439">
        <v>0</v>
      </c>
      <c r="H30" s="439">
        <v>240</v>
      </c>
      <c r="I30" s="439">
        <v>150</v>
      </c>
      <c r="J30" s="439">
        <v>0</v>
      </c>
      <c r="K30" s="439">
        <v>90</v>
      </c>
      <c r="L30" s="439">
        <v>60</v>
      </c>
      <c r="M30" s="439">
        <v>179</v>
      </c>
      <c r="N30" s="312">
        <f>SUM(B30:M30)</f>
        <v>1047</v>
      </c>
    </row>
    <row r="31" spans="5:14" ht="12.75">
      <c r="E31" s="115"/>
      <c r="N31" s="114">
        <f>N29-N30</f>
        <v>32812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Prime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part 2.xls</dc:title>
  <dc:subject/>
  <dc:creator>Steve Seelye</dc:creator>
  <cp:keywords/>
  <dc:description/>
  <cp:lastModifiedBy>CYR, JENNIFER</cp:lastModifiedBy>
  <cp:lastPrinted>2012-06-24T19:15:09Z</cp:lastPrinted>
  <dcterms:created xsi:type="dcterms:W3CDTF">2007-02-25T12:41:29Z</dcterms:created>
  <dcterms:modified xsi:type="dcterms:W3CDTF">2012-06-24T19:34:26Z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">
    <vt:lpwstr>Select...</vt:lpwstr>
  </property>
  <property fmtid="{D5CDD505-2E9C-101B-9397-08002B2CF9AE}" pid="3" name="Ownership">
    <vt:lpwstr>1) Writer</vt:lpwstr>
  </property>
  <property fmtid="{D5CDD505-2E9C-101B-9397-08002B2CF9AE}" pid="4" name="File Electronically?">
    <vt:lpwstr>0</vt:lpwstr>
  </property>
  <property fmtid="{D5CDD505-2E9C-101B-9397-08002B2CF9AE}" pid="5" name="Doc for Reviewer?">
    <vt:lpwstr>0</vt:lpwstr>
  </property>
  <property fmtid="{D5CDD505-2E9C-101B-9397-08002B2CF9AE}" pid="6" name="Live Edit?">
    <vt:lpwstr>Select...</vt:lpwstr>
  </property>
  <property fmtid="{D5CDD505-2E9C-101B-9397-08002B2CF9AE}" pid="7" name="ContentTypeId">
    <vt:lpwstr>0x0101000C00DD4E52492749881C5E63AAEB2549</vt:lpwstr>
  </property>
  <property fmtid="{D5CDD505-2E9C-101B-9397-08002B2CF9AE}" pid="8" name="ContentType">
    <vt:lpwstr>Document</vt:lpwstr>
  </property>
  <property fmtid="{D5CDD505-2E9C-101B-9397-08002B2CF9AE}" pid="9" name="Content Contributors">
    <vt:lpwstr/>
  </property>
  <property fmtid="{D5CDD505-2E9C-101B-9397-08002B2CF9AE}" pid="10" name="Exhibit Number">
    <vt:lpwstr/>
  </property>
  <property fmtid="{D5CDD505-2E9C-101B-9397-08002B2CF9AE}" pid="11" name="Filing Date">
    <vt:lpwstr/>
  </property>
  <property fmtid="{D5CDD505-2E9C-101B-9397-08002B2CF9AE}" pid="12" name="Witness">
    <vt:lpwstr/>
  </property>
  <property fmtid="{D5CDD505-2E9C-101B-9397-08002B2CF9AE}" pid="13" name="Create Date">
    <vt:lpwstr/>
  </property>
  <property fmtid="{D5CDD505-2E9C-101B-9397-08002B2CF9AE}" pid="14" name="Description Field">
    <vt:lpwstr/>
  </property>
  <property fmtid="{D5CDD505-2E9C-101B-9397-08002B2CF9AE}" pid="15" name="Document Type">
    <vt:lpwstr>Application</vt:lpwstr>
  </property>
  <property fmtid="{D5CDD505-2E9C-101B-9397-08002B2CF9AE}" pid="16" name="Source of Information">
    <vt:lpwstr/>
  </property>
  <property fmtid="{D5CDD505-2E9C-101B-9397-08002B2CF9AE}" pid="17" name="IR_Responder">
    <vt:lpwstr>15</vt:lpwstr>
  </property>
  <property fmtid="{D5CDD505-2E9C-101B-9397-08002B2CF9AE}" pid="18" name="WorkflowCreationPath">
    <vt:lpwstr>ccae7124-5fa8-4cd4-971b-8551cd07147b,2;ccae7124-5fa8-4cd4-971b-8551cd07147b,2;</vt:lpwstr>
  </property>
  <property fmtid="{D5CDD505-2E9C-101B-9397-08002B2CF9AE}" pid="19" name="IR_Status">
    <vt:lpwstr>20</vt:lpwstr>
  </property>
  <property fmtid="{D5CDD505-2E9C-101B-9397-08002B2CF9AE}" pid="20" name="MetadataSecurityLog">
    <vt:lpwstr>&lt;Log Date="-8588610234086634741" Reason="ItemUpdated" Error=""&gt;&lt;Rule Message="" Name="Admin" /&gt;&lt;/Log&gt;</vt:lpwstr>
  </property>
  <property fmtid="{D5CDD505-2E9C-101B-9397-08002B2CF9AE}" pid="21" name="display_urn:schemas-microsoft-com:office:office#IR_Owner">
    <vt:lpwstr>GRUS, VOYTEK</vt:lpwstr>
  </property>
  <property fmtid="{D5CDD505-2E9C-101B-9397-08002B2CF9AE}" pid="22" name="IR_Received_Date">
    <vt:lpwstr>2012-06-11T00:00:00Z</vt:lpwstr>
  </property>
  <property fmtid="{D5CDD505-2E9C-101B-9397-08002B2CF9AE}" pid="23" name="IR_Filing_Date">
    <vt:lpwstr>2012-06-25T00:00:00Z</vt:lpwstr>
  </property>
  <property fmtid="{D5CDD505-2E9C-101B-9397-08002B2CF9AE}" pid="24" name="Order">
    <vt:lpwstr>88400.0000000000</vt:lpwstr>
  </property>
  <property fmtid="{D5CDD505-2E9C-101B-9397-08002B2CF9AE}" pid="25" name="IR_Owner">
    <vt:lpwstr>48</vt:lpwstr>
  </property>
  <property fmtid="{D5CDD505-2E9C-101B-9397-08002B2CF9AE}" pid="26" name="IR_Witness">
    <vt:lpwstr/>
  </property>
  <property fmtid="{D5CDD505-2E9C-101B-9397-08002B2CF9AE}" pid="27" name="display_urn:schemas-microsoft-com:office:office#IR_Writer">
    <vt:lpwstr>POWER, LISA</vt:lpwstr>
  </property>
  <property fmtid="{D5CDD505-2E9C-101B-9397-08002B2CF9AE}" pid="28" name="IR_Writer">
    <vt:lpwstr>343</vt:lpwstr>
  </property>
  <property fmtid="{D5CDD505-2E9C-101B-9397-08002B2CF9AE}" pid="29" name="IR_Context">
    <vt:lpwstr>20</vt:lpwstr>
  </property>
  <property fmtid="{D5CDD505-2E9C-101B-9397-08002B2CF9AE}" pid="30" name="IR_Subtopic">
    <vt:lpwstr>215</vt:lpwstr>
  </property>
  <property fmtid="{D5CDD505-2E9C-101B-9397-08002B2CF9AE}" pid="31" name="IR_Requester">
    <vt:lpwstr>9</vt:lpwstr>
  </property>
  <property fmtid="{D5CDD505-2E9C-101B-9397-08002B2CF9AE}" pid="32" name="IR_Review_Sort">
    <vt:lpwstr>CA IR 026-050</vt:lpwstr>
  </property>
  <property fmtid="{D5CDD505-2E9C-101B-9397-08002B2CF9AE}" pid="33" name="IR_Description_Field">
    <vt:lpwstr/>
  </property>
</Properties>
</file>