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26" windowWidth="27540" windowHeight="10230" activeTab="1"/>
  </bookViews>
  <sheets>
    <sheet name="database" sheetId="1" r:id="rId1"/>
    <sheet name="2013 Revenue Summary " sheetId="2" r:id="rId2"/>
  </sheets>
  <definedNames>
    <definedName name="Act09_vs_GRA2011">#REF!</definedName>
    <definedName name="Actual09_vs_CF09">#REF!</definedName>
    <definedName name="CF09_vs_GRA11">#REF!</definedName>
    <definedName name="CF09vsA10">#REF!</definedName>
    <definedName name="GRA2012">#REF!</definedName>
    <definedName name="GRA2012MayvsAug">#REF!</definedName>
    <definedName name="_xlnm.Print_Area" localSheetId="1">'2013 Revenue Summary '!$A$1:$Z$48</definedName>
    <definedName name="_xlnm.Print_Titles" localSheetId="0">'database'!$A:$A,'database'!$3:$5</definedName>
    <definedName name="Report">#REF!</definedName>
  </definedNames>
  <calcPr fullCalcOnLoad="1"/>
</workbook>
</file>

<file path=xl/sharedStrings.xml><?xml version="1.0" encoding="utf-8"?>
<sst xmlns="http://schemas.openxmlformats.org/spreadsheetml/2006/main" count="131" uniqueCount="91">
  <si>
    <t>Small General</t>
  </si>
  <si>
    <t>Large General</t>
  </si>
  <si>
    <t>Small Industrial</t>
  </si>
  <si>
    <t>Medium Industrial</t>
  </si>
  <si>
    <t>Municipal</t>
  </si>
  <si>
    <t>Unmetered</t>
  </si>
  <si>
    <t>GRLF</t>
  </si>
  <si>
    <t>Total</t>
  </si>
  <si>
    <t>Residential</t>
  </si>
  <si>
    <t>General Demand</t>
  </si>
  <si>
    <t>Total Commercial</t>
  </si>
  <si>
    <t>Total Industrial</t>
  </si>
  <si>
    <t>Mersey Additional Energy</t>
  </si>
  <si>
    <t>Bowater Mersey</t>
  </si>
  <si>
    <t>ELI  2PT - RTP</t>
  </si>
  <si>
    <t>In Province Total</t>
  </si>
  <si>
    <t>Export</t>
  </si>
  <si>
    <t>Total Electric Sales</t>
  </si>
  <si>
    <t>Losses</t>
  </si>
  <si>
    <t>Total Revenue\System Requirement</t>
  </si>
  <si>
    <t>Rate Classes</t>
  </si>
  <si>
    <t>ATL</t>
  </si>
  <si>
    <t>BTL</t>
  </si>
  <si>
    <t>Total Other</t>
  </si>
  <si>
    <t>Total ATL Classes</t>
  </si>
  <si>
    <t>Total BTL Classes</t>
  </si>
  <si>
    <t>A</t>
  </si>
  <si>
    <t>C</t>
  </si>
  <si>
    <t>D</t>
  </si>
  <si>
    <t>E</t>
  </si>
  <si>
    <t>B</t>
  </si>
  <si>
    <t>Amount</t>
  </si>
  <si>
    <t>Variance</t>
  </si>
  <si>
    <t>Increase</t>
  </si>
  <si>
    <t>% of Base Revenue</t>
  </si>
  <si>
    <t>% Incr.</t>
  </si>
  <si>
    <t>Grand Total</t>
  </si>
  <si>
    <t>Revenue at the re-based fuel costs in rates plus AA, BA DCRR</t>
  </si>
  <si>
    <t>ELI 2P-RTP (debits &amp; credits only)</t>
  </si>
  <si>
    <t>Misc Revenue</t>
  </si>
  <si>
    <t>Automatic Cost Adjustment - DCRR</t>
  </si>
  <si>
    <t>AA Component</t>
  </si>
  <si>
    <t>BA Component</t>
  </si>
  <si>
    <t xml:space="preserve">  Misc. Revenue\Export Losses</t>
  </si>
  <si>
    <t xml:space="preserve">  Losses</t>
  </si>
  <si>
    <t xml:space="preserve">  Total</t>
  </si>
  <si>
    <t>2012 Amount</t>
  </si>
  <si>
    <t>LED SL Capital Related Costs</t>
  </si>
  <si>
    <t>LED SL LTC</t>
  </si>
  <si>
    <t>Total LED</t>
  </si>
  <si>
    <t>LED SL Capital Costs</t>
  </si>
  <si>
    <t>BTL (Electric)</t>
  </si>
  <si>
    <t>Total BTL (Electric) Classes</t>
  </si>
  <si>
    <t>N/A</t>
  </si>
  <si>
    <t>Increase (%) over Total Cost of Power</t>
  </si>
  <si>
    <t>F</t>
  </si>
  <si>
    <t>G</t>
  </si>
  <si>
    <t>I</t>
  </si>
  <si>
    <t>M</t>
  </si>
  <si>
    <t>N</t>
  </si>
  <si>
    <t>O</t>
  </si>
  <si>
    <t>P</t>
  </si>
  <si>
    <t>Q</t>
  </si>
  <si>
    <t>J</t>
  </si>
  <si>
    <t>K</t>
  </si>
  <si>
    <t>S</t>
  </si>
  <si>
    <t>2012 FAM AA</t>
  </si>
  <si>
    <t>2012 FAM BA</t>
  </si>
  <si>
    <t>ELI  2PT - RTP*</t>
  </si>
  <si>
    <t>Columns</t>
  </si>
  <si>
    <t>H</t>
  </si>
  <si>
    <t>L</t>
  </si>
  <si>
    <t>R</t>
  </si>
  <si>
    <t>Large Industrial - Firm</t>
  </si>
  <si>
    <t>Large Industrial - Interruptible</t>
  </si>
  <si>
    <t>Total Large Industrial</t>
  </si>
  <si>
    <t>Large Industrial (Total)</t>
  </si>
  <si>
    <t>2013 Revenue at current rates before cost adjustment clauses</t>
  </si>
  <si>
    <t>Proposed Revenues 2013 Before Riders</t>
  </si>
  <si>
    <t>2013 Amount</t>
  </si>
  <si>
    <t>2013 Sales (GWh's)</t>
  </si>
  <si>
    <t>LRT</t>
  </si>
  <si>
    <t>2013 Revenues</t>
  </si>
  <si>
    <t>2013 at Current Rates</t>
  </si>
  <si>
    <t>2013 at Proposed Rates</t>
  </si>
  <si>
    <t>2013 BA</t>
  </si>
  <si>
    <t xml:space="preserve">2013 REVENUE INCREASE ANALYSIS </t>
  </si>
  <si>
    <t>Revenue at current rates including 2012 AA/BA</t>
  </si>
  <si>
    <t xml:space="preserve">2013 Revenue reflective of all FAM components </t>
  </si>
  <si>
    <t>* The 2012 FAM AA/BA Figures have been adjusted to reflect the 2013 LRT Load</t>
  </si>
  <si>
    <t>2012 Data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</si>
</sst>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[$$-409]#,##0;[Red]\-[$$-409]#,##0"/>
    <numFmt numFmtId="166" formatCode="#,##0.0_);[Red]\(#,##0.0\)"/>
    <numFmt numFmtId="167" formatCode="#,##0.000_);[Red]\(#,##0.000\)"/>
    <numFmt numFmtId="168" formatCode="0.0%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_);_(* \(#,##0.000\);_(* &quot;-&quot;???_);_(@_)"/>
    <numFmt numFmtId="174" formatCode="&quot;$&quot;#,##0.0_);[Red]\(&quot;$&quot;#,##0.0\)"/>
    <numFmt numFmtId="175" formatCode="0.0000000000"/>
    <numFmt numFmtId="176" formatCode="0.0000000000000000%"/>
    <numFmt numFmtId="177" formatCode="&quot;$&quot;#,##0.000_);[Red]\(&quot;$&quot;#,##0.000\)"/>
    <numFmt numFmtId="178" formatCode="0.000%"/>
    <numFmt numFmtId="179" formatCode="#,##0.0_);\(#,##0.0\)"/>
    <numFmt numFmtId="180" formatCode="0.0"/>
    <numFmt numFmtId="181" formatCode="&quot;$&quot;#,##0"/>
    <numFmt numFmtId="182" formatCode="_(* #,##0.0000_);_(* \(#,##0.0000\);_(* &quot;-&quot;??_);_(@_)"/>
    <numFmt numFmtId="183" formatCode="0.000"/>
    <numFmt numFmtId="184" formatCode="0.0000"/>
    <numFmt numFmtId="185" formatCode="#,##0.0000000_);\(#,##0.0000000\)"/>
    <numFmt numFmtId="186" formatCode="#,##0.000000_);\(#,##0.000000\)"/>
    <numFmt numFmtId="187" formatCode="#,##0.00000_);\(#,##0.00000\)"/>
    <numFmt numFmtId="188" formatCode="#,##0.0000_);\(#,##0.0000\)"/>
    <numFmt numFmtId="189" formatCode="#,##0.000_);\(#,##0.000\)"/>
    <numFmt numFmtId="190" formatCode="&quot;$&quot;#,##0.0000_);[Red]\(&quot;$&quot;#,##0.0000\)"/>
    <numFmt numFmtId="191" formatCode="&quot;$&quot;#,##0.0000"/>
    <numFmt numFmtId="192" formatCode="&quot;$&quot;#,##0.00"/>
    <numFmt numFmtId="193" formatCode="&quot;$&quot;#,##0.0"/>
    <numFmt numFmtId="194" formatCode="0.0000_);[Red]\(0.0000\)"/>
    <numFmt numFmtId="195" formatCode="0.0000000%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6" fontId="0" fillId="0" borderId="0" xfId="0" applyNumberFormat="1" applyBorder="1" applyAlignment="1">
      <alignment/>
    </xf>
    <xf numFmtId="166" fontId="1" fillId="0" borderId="13" xfId="42" applyNumberFormat="1" applyFont="1" applyFill="1" applyBorder="1" applyAlignment="1">
      <alignment horizontal="right"/>
    </xf>
    <xf numFmtId="6" fontId="1" fillId="0" borderId="0" xfId="42" applyNumberFormat="1" applyFont="1" applyFill="1" applyBorder="1" applyAlignment="1">
      <alignment horizontal="right"/>
    </xf>
    <xf numFmtId="166" fontId="0" fillId="0" borderId="13" xfId="42" applyNumberFormat="1" applyFont="1" applyFill="1" applyBorder="1" applyAlignment="1">
      <alignment horizontal="right"/>
    </xf>
    <xf numFmtId="6" fontId="0" fillId="0" borderId="0" xfId="42" applyNumberFormat="1" applyFont="1" applyFill="1" applyBorder="1" applyAlignment="1">
      <alignment horizontal="right"/>
    </xf>
    <xf numFmtId="166" fontId="8" fillId="0" borderId="13" xfId="42" applyNumberFormat="1" applyFont="1" applyFill="1" applyBorder="1" applyAlignment="1">
      <alignment horizontal="right"/>
    </xf>
    <xf numFmtId="6" fontId="8" fillId="0" borderId="0" xfId="42" applyNumberFormat="1" applyFont="1" applyFill="1" applyBorder="1" applyAlignment="1">
      <alignment horizontal="right"/>
    </xf>
    <xf numFmtId="6" fontId="1" fillId="0" borderId="0" xfId="44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6" fontId="0" fillId="0" borderId="13" xfId="0" applyNumberForma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6" fontId="1" fillId="0" borderId="13" xfId="42" applyNumberFormat="1" applyFont="1" applyFill="1" applyBorder="1" applyAlignment="1">
      <alignment horizontal="right"/>
    </xf>
    <xf numFmtId="6" fontId="0" fillId="0" borderId="13" xfId="42" applyNumberFormat="1" applyFont="1" applyFill="1" applyBorder="1" applyAlignment="1">
      <alignment horizontal="right"/>
    </xf>
    <xf numFmtId="6" fontId="8" fillId="0" borderId="13" xfId="42" applyNumberFormat="1" applyFont="1" applyFill="1" applyBorder="1" applyAlignment="1">
      <alignment horizontal="right"/>
    </xf>
    <xf numFmtId="6" fontId="1" fillId="0" borderId="13" xfId="44" applyNumberFormat="1" applyFont="1" applyFill="1" applyBorder="1" applyAlignment="1">
      <alignment horizontal="right"/>
    </xf>
    <xf numFmtId="168" fontId="1" fillId="0" borderId="9" xfId="64" applyNumberFormat="1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3" xfId="0" applyNumberFormat="1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8" fontId="8" fillId="0" borderId="9" xfId="64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168" fontId="0" fillId="0" borderId="0" xfId="64" applyNumberFormat="1" applyFont="1" applyBorder="1" applyAlignment="1">
      <alignment/>
    </xf>
    <xf numFmtId="168" fontId="0" fillId="0" borderId="9" xfId="64" applyNumberFormat="1" applyFont="1" applyBorder="1" applyAlignment="1">
      <alignment/>
    </xf>
    <xf numFmtId="168" fontId="0" fillId="0" borderId="9" xfId="64" applyNumberFormat="1" applyBorder="1" applyAlignment="1">
      <alignment/>
    </xf>
    <xf numFmtId="168" fontId="0" fillId="0" borderId="15" xfId="64" applyNumberFormat="1" applyBorder="1" applyAlignment="1">
      <alignment/>
    </xf>
    <xf numFmtId="6" fontId="0" fillId="0" borderId="0" xfId="0" applyNumberFormat="1" applyAlignment="1">
      <alignment/>
    </xf>
    <xf numFmtId="168" fontId="0" fillId="0" borderId="9" xfId="64" applyNumberFormat="1" applyFill="1" applyBorder="1" applyAlignment="1">
      <alignment/>
    </xf>
    <xf numFmtId="168" fontId="1" fillId="0" borderId="9" xfId="64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39" fontId="0" fillId="0" borderId="0" xfId="0" applyNumberFormat="1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8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37" fontId="0" fillId="0" borderId="12" xfId="0" applyNumberFormat="1" applyBorder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13" xfId="0" applyFont="1" applyFill="1" applyBorder="1" applyAlignment="1" applyProtection="1">
      <alignment wrapText="1"/>
      <protection locked="0"/>
    </xf>
    <xf numFmtId="168" fontId="0" fillId="0" borderId="12" xfId="64" applyNumberFormat="1" applyBorder="1" applyAlignment="1">
      <alignment/>
    </xf>
    <xf numFmtId="168" fontId="0" fillId="0" borderId="0" xfId="0" applyNumberFormat="1" applyAlignment="1">
      <alignment/>
    </xf>
    <xf numFmtId="181" fontId="1" fillId="0" borderId="0" xfId="42" applyNumberFormat="1" applyFont="1" applyFill="1" applyBorder="1" applyAlignment="1">
      <alignment horizontal="right"/>
    </xf>
    <xf numFmtId="181" fontId="0" fillId="0" borderId="0" xfId="42" applyNumberFormat="1" applyFont="1" applyFill="1" applyBorder="1" applyAlignment="1">
      <alignment horizontal="right"/>
    </xf>
    <xf numFmtId="181" fontId="8" fillId="0" borderId="0" xfId="42" applyNumberFormat="1" applyFont="1" applyFill="1" applyBorder="1" applyAlignment="1">
      <alignment horizontal="right"/>
    </xf>
    <xf numFmtId="181" fontId="1" fillId="0" borderId="0" xfId="44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8" fontId="0" fillId="0" borderId="0" xfId="64" applyNumberFormat="1" applyBorder="1" applyAlignment="1">
      <alignment/>
    </xf>
    <xf numFmtId="168" fontId="1" fillId="0" borderId="0" xfId="64" applyNumberFormat="1" applyFont="1" applyBorder="1" applyAlignment="1">
      <alignment/>
    </xf>
    <xf numFmtId="0" fontId="0" fillId="0" borderId="0" xfId="0" applyFont="1" applyAlignment="1">
      <alignment/>
    </xf>
    <xf numFmtId="171" fontId="0" fillId="0" borderId="0" xfId="42" applyNumberFormat="1" applyFont="1" applyAlignment="1">
      <alignment/>
    </xf>
    <xf numFmtId="168" fontId="8" fillId="0" borderId="0" xfId="64" applyNumberFormat="1" applyFont="1" applyBorder="1" applyAlignment="1">
      <alignment/>
    </xf>
    <xf numFmtId="8" fontId="0" fillId="0" borderId="0" xfId="0" applyNumberFormat="1" applyAlignment="1">
      <alignment horizontal="right"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3" xfId="0" applyFont="1" applyFill="1" applyBorder="1" applyAlignment="1" applyProtection="1">
      <alignment/>
      <protection locked="0"/>
    </xf>
    <xf numFmtId="166" fontId="11" fillId="0" borderId="13" xfId="42" applyNumberFormat="1" applyFont="1" applyFill="1" applyBorder="1" applyAlignment="1">
      <alignment horizontal="right"/>
    </xf>
    <xf numFmtId="181" fontId="11" fillId="0" borderId="0" xfId="42" applyNumberFormat="1" applyFont="1" applyFill="1" applyBorder="1" applyAlignment="1">
      <alignment horizontal="right"/>
    </xf>
    <xf numFmtId="6" fontId="11" fillId="0" borderId="0" xfId="42" applyNumberFormat="1" applyFont="1" applyFill="1" applyBorder="1" applyAlignment="1">
      <alignment horizontal="right"/>
    </xf>
    <xf numFmtId="6" fontId="11" fillId="0" borderId="13" xfId="42" applyNumberFormat="1" applyFont="1" applyFill="1" applyBorder="1" applyAlignment="1">
      <alignment horizontal="right"/>
    </xf>
    <xf numFmtId="168" fontId="11" fillId="0" borderId="9" xfId="64" applyNumberFormat="1" applyFont="1" applyBorder="1" applyAlignment="1">
      <alignment/>
    </xf>
    <xf numFmtId="168" fontId="11" fillId="0" borderId="0" xfId="64" applyNumberFormat="1" applyFont="1" applyBorder="1" applyAlignment="1">
      <alignment/>
    </xf>
    <xf numFmtId="171" fontId="11" fillId="0" borderId="0" xfId="42" applyNumberFormat="1" applyFont="1" applyAlignment="1">
      <alignment/>
    </xf>
    <xf numFmtId="166" fontId="12" fillId="0" borderId="13" xfId="42" applyNumberFormat="1" applyFont="1" applyFill="1" applyBorder="1" applyAlignment="1">
      <alignment horizontal="right"/>
    </xf>
    <xf numFmtId="181" fontId="12" fillId="0" borderId="0" xfId="42" applyNumberFormat="1" applyFont="1" applyFill="1" applyBorder="1" applyAlignment="1">
      <alignment horizontal="right"/>
    </xf>
    <xf numFmtId="6" fontId="12" fillId="0" borderId="0" xfId="42" applyNumberFormat="1" applyFont="1" applyFill="1" applyBorder="1" applyAlignment="1">
      <alignment horizontal="right"/>
    </xf>
    <xf numFmtId="6" fontId="12" fillId="0" borderId="13" xfId="42" applyNumberFormat="1" applyFont="1" applyFill="1" applyBorder="1" applyAlignment="1">
      <alignment horizontal="right"/>
    </xf>
    <xf numFmtId="168" fontId="12" fillId="0" borderId="9" xfId="64" applyNumberFormat="1" applyFont="1" applyBorder="1" applyAlignment="1">
      <alignment/>
    </xf>
    <xf numFmtId="168" fontId="12" fillId="0" borderId="0" xfId="64" applyNumberFormat="1" applyFont="1" applyBorder="1" applyAlignment="1">
      <alignment/>
    </xf>
    <xf numFmtId="0" fontId="12" fillId="0" borderId="0" xfId="0" applyFont="1" applyAlignment="1">
      <alignment/>
    </xf>
    <xf numFmtId="171" fontId="12" fillId="0" borderId="0" xfId="42" applyNumberFormat="1" applyFont="1" applyAlignment="1">
      <alignment/>
    </xf>
    <xf numFmtId="0" fontId="10" fillId="0" borderId="0" xfId="0" applyFont="1" applyFill="1" applyBorder="1" applyAlignment="1">
      <alignment horizontal="center" wrapText="1"/>
    </xf>
    <xf numFmtId="182" fontId="0" fillId="0" borderId="0" xfId="42" applyNumberFormat="1" applyFont="1" applyAlignment="1">
      <alignment/>
    </xf>
    <xf numFmtId="168" fontId="8" fillId="0" borderId="9" xfId="64" applyNumberFormat="1" applyFont="1" applyBorder="1" applyAlignment="1">
      <alignment horizontal="right"/>
    </xf>
    <xf numFmtId="8" fontId="8" fillId="0" borderId="0" xfId="0" applyNumberFormat="1" applyFont="1" applyAlignment="1">
      <alignment/>
    </xf>
    <xf numFmtId="8" fontId="15" fillId="0" borderId="0" xfId="0" applyNumberFormat="1" applyFont="1" applyAlignment="1">
      <alignment/>
    </xf>
    <xf numFmtId="181" fontId="8" fillId="0" borderId="0" xfId="42" applyNumberFormat="1" applyFont="1" applyFill="1" applyBorder="1" applyAlignment="1">
      <alignment horizontal="right"/>
    </xf>
    <xf numFmtId="5" fontId="1" fillId="0" borderId="0" xfId="42" applyNumberFormat="1" applyFont="1" applyFill="1" applyBorder="1" applyAlignment="1">
      <alignment horizontal="right"/>
    </xf>
    <xf numFmtId="5" fontId="0" fillId="0" borderId="0" xfId="42" applyNumberFormat="1" applyFont="1" applyFill="1" applyBorder="1" applyAlignment="1">
      <alignment horizontal="right"/>
    </xf>
    <xf numFmtId="5" fontId="8" fillId="0" borderId="0" xfId="42" applyNumberFormat="1" applyFont="1" applyFill="1" applyBorder="1" applyAlignment="1">
      <alignment horizontal="right"/>
    </xf>
    <xf numFmtId="5" fontId="11" fillId="0" borderId="0" xfId="42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0" fontId="14" fillId="0" borderId="17" xfId="0" applyFont="1" applyFill="1" applyBorder="1" applyAlignment="1">
      <alignment horizontal="center" wrapText="1"/>
    </xf>
    <xf numFmtId="0" fontId="1" fillId="0" borderId="17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/>
    </xf>
    <xf numFmtId="0" fontId="1" fillId="0" borderId="17" xfId="0" applyFont="1" applyFill="1" applyBorder="1" applyAlignment="1" applyProtection="1">
      <alignment/>
      <protection locked="0"/>
    </xf>
    <xf numFmtId="6" fontId="1" fillId="0" borderId="17" xfId="0" applyNumberFormat="1" applyFont="1" applyBorder="1" applyAlignment="1">
      <alignment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6" fontId="0" fillId="0" borderId="17" xfId="0" applyNumberFormat="1" applyBorder="1" applyAlignment="1">
      <alignment/>
    </xf>
    <xf numFmtId="0" fontId="8" fillId="0" borderId="17" xfId="0" applyFont="1" applyFill="1" applyBorder="1" applyAlignment="1" applyProtection="1">
      <alignment/>
      <protection locked="0"/>
    </xf>
    <xf numFmtId="6" fontId="8" fillId="0" borderId="17" xfId="0" applyNumberFormat="1" applyFont="1" applyBorder="1" applyAlignment="1">
      <alignment/>
    </xf>
    <xf numFmtId="0" fontId="1" fillId="0" borderId="17" xfId="0" applyFont="1" applyFill="1" applyBorder="1" applyAlignment="1" applyProtection="1">
      <alignment wrapText="1"/>
      <protection locked="0"/>
    </xf>
    <xf numFmtId="0" fontId="0" fillId="0" borderId="17" xfId="0" applyFont="1" applyBorder="1" applyAlignment="1">
      <alignment/>
    </xf>
    <xf numFmtId="6" fontId="0" fillId="0" borderId="17" xfId="0" applyNumberFormat="1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6" fontId="8" fillId="0" borderId="17" xfId="0" applyNumberFormat="1" applyFont="1" applyBorder="1" applyAlignment="1">
      <alignment/>
    </xf>
    <xf numFmtId="6" fontId="1" fillId="0" borderId="17" xfId="42" applyNumberFormat="1" applyFont="1" applyFill="1" applyBorder="1" applyAlignment="1">
      <alignment horizontal="right"/>
    </xf>
    <xf numFmtId="0" fontId="1" fillId="0" borderId="17" xfId="0" applyFont="1" applyBorder="1" applyAlignment="1">
      <alignment wrapText="1"/>
    </xf>
    <xf numFmtId="0" fontId="13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70"/>
  <sheetViews>
    <sheetView zoomScalePageLayoutView="0" workbookViewId="0" topLeftCell="A1">
      <selection activeCell="N52" sqref="N52"/>
    </sheetView>
  </sheetViews>
  <sheetFormatPr defaultColWidth="9.140625" defaultRowHeight="12.75"/>
  <cols>
    <col min="1" max="1" width="30.140625" style="1" bestFit="1" customWidth="1"/>
    <col min="2" max="3" width="11.7109375" style="1" bestFit="1" customWidth="1"/>
    <col min="4" max="4" width="16.57421875" style="1" customWidth="1"/>
    <col min="5" max="5" width="18.28125" style="1" customWidth="1"/>
    <col min="6" max="6" width="13.421875" style="1" bestFit="1" customWidth="1"/>
    <col min="7" max="16384" width="9.140625" style="1" customWidth="1"/>
  </cols>
  <sheetData>
    <row r="3" spans="1:6" s="10" customFormat="1" ht="18">
      <c r="A3" s="116" t="s">
        <v>20</v>
      </c>
      <c r="B3" s="137" t="s">
        <v>90</v>
      </c>
      <c r="C3" s="137"/>
      <c r="D3" s="137" t="s">
        <v>82</v>
      </c>
      <c r="E3" s="137"/>
      <c r="F3" s="137"/>
    </row>
    <row r="4" spans="1:6" s="10" customFormat="1" ht="26.25" customHeight="1">
      <c r="A4" s="116"/>
      <c r="B4" s="116"/>
      <c r="C4" s="116"/>
      <c r="D4" s="117" t="s">
        <v>83</v>
      </c>
      <c r="E4" s="117" t="s">
        <v>84</v>
      </c>
      <c r="F4" s="116"/>
    </row>
    <row r="5" spans="1:6" ht="62.25" customHeight="1">
      <c r="A5" s="118"/>
      <c r="B5" s="119" t="s">
        <v>66</v>
      </c>
      <c r="C5" s="120" t="s">
        <v>67</v>
      </c>
      <c r="D5" s="120" t="s">
        <v>7</v>
      </c>
      <c r="E5" s="120" t="s">
        <v>7</v>
      </c>
      <c r="F5" s="120" t="s">
        <v>85</v>
      </c>
    </row>
    <row r="6" spans="1:6" ht="18" customHeight="1">
      <c r="A6" s="118" t="s">
        <v>21</v>
      </c>
      <c r="B6" s="121"/>
      <c r="C6" s="121"/>
      <c r="D6" s="121"/>
      <c r="E6" s="121"/>
      <c r="F6" s="121"/>
    </row>
    <row r="7" spans="1:6" s="2" customFormat="1" ht="12.75">
      <c r="A7" s="122" t="s">
        <v>8</v>
      </c>
      <c r="B7" s="123">
        <v>15729855.39635859</v>
      </c>
      <c r="C7" s="123">
        <v>13940592.104265573</v>
      </c>
      <c r="D7" s="123">
        <v>588717083.202889</v>
      </c>
      <c r="E7" s="123">
        <v>656556742.5019921</v>
      </c>
      <c r="F7" s="123">
        <v>11528175.200903017</v>
      </c>
    </row>
    <row r="8" spans="1:6" ht="6" customHeight="1">
      <c r="A8" s="124"/>
      <c r="B8" s="121"/>
      <c r="C8" s="121"/>
      <c r="D8" s="121"/>
      <c r="E8" s="121"/>
      <c r="F8" s="121"/>
    </row>
    <row r="9" spans="1:6" ht="12.75">
      <c r="A9" s="125" t="s">
        <v>0</v>
      </c>
      <c r="B9" s="126">
        <v>836569.9890911216</v>
      </c>
      <c r="C9" s="126">
        <v>784960.1308079566</v>
      </c>
      <c r="D9" s="126">
        <v>31454191.894843403</v>
      </c>
      <c r="E9" s="126">
        <v>35078754.0530633</v>
      </c>
      <c r="F9" s="126">
        <v>663039.8340477052</v>
      </c>
    </row>
    <row r="10" spans="1:6" ht="12.75">
      <c r="A10" s="124" t="s">
        <v>9</v>
      </c>
      <c r="B10" s="126">
        <v>9236100.686004808</v>
      </c>
      <c r="C10" s="126">
        <v>9197988.818109112</v>
      </c>
      <c r="D10" s="126">
        <v>275984112.15196776</v>
      </c>
      <c r="E10" s="126">
        <v>307786600.43461645</v>
      </c>
      <c r="F10" s="126">
        <v>7640243.683163606</v>
      </c>
    </row>
    <row r="11" spans="1:6" s="9" customFormat="1" ht="12.75">
      <c r="A11" s="127" t="s">
        <v>1</v>
      </c>
      <c r="B11" s="128">
        <v>1348849.6986629148</v>
      </c>
      <c r="C11" s="128">
        <v>1443409.955574371</v>
      </c>
      <c r="D11" s="128">
        <v>37795518.90171224</v>
      </c>
      <c r="E11" s="128">
        <v>42150811.44966321</v>
      </c>
      <c r="F11" s="128">
        <v>1341147.4854338877</v>
      </c>
    </row>
    <row r="12" spans="1:6" s="2" customFormat="1" ht="12.75">
      <c r="A12" s="122" t="s">
        <v>10</v>
      </c>
      <c r="B12" s="123">
        <f>SUM(B9:B11)</f>
        <v>11421520.373758845</v>
      </c>
      <c r="C12" s="123">
        <f>SUM(C9:C11)</f>
        <v>11426358.90449144</v>
      </c>
      <c r="D12" s="123">
        <f>SUM(D9:D11)</f>
        <v>345233822.9485234</v>
      </c>
      <c r="E12" s="123">
        <f>SUM(E9:E11)</f>
        <v>385016165.93734294</v>
      </c>
      <c r="F12" s="123">
        <f>SUM(F9:F11)</f>
        <v>9644431.002645198</v>
      </c>
    </row>
    <row r="13" spans="1:6" ht="5.25" customHeight="1">
      <c r="A13" s="124"/>
      <c r="B13" s="121"/>
      <c r="C13" s="121"/>
      <c r="D13" s="121"/>
      <c r="E13" s="121"/>
      <c r="F13" s="121"/>
    </row>
    <row r="14" spans="1:6" ht="12.75">
      <c r="A14" s="124" t="s">
        <v>2</v>
      </c>
      <c r="B14" s="126">
        <v>834756.6549771931</v>
      </c>
      <c r="C14" s="126">
        <v>876178.2414095479</v>
      </c>
      <c r="D14" s="126">
        <v>28459581.73596959</v>
      </c>
      <c r="E14" s="126">
        <v>31739065.86145026</v>
      </c>
      <c r="F14" s="126">
        <v>827566.6761845871</v>
      </c>
    </row>
    <row r="15" spans="1:6" ht="12.75">
      <c r="A15" s="124" t="s">
        <v>3</v>
      </c>
      <c r="B15" s="126">
        <v>1569891.0792160828</v>
      </c>
      <c r="C15" s="126">
        <v>1659488.167918161</v>
      </c>
      <c r="D15" s="126">
        <v>47959530.119432814</v>
      </c>
      <c r="E15" s="126">
        <v>53486052.580351666</v>
      </c>
      <c r="F15" s="126">
        <v>1564646.3316729537</v>
      </c>
    </row>
    <row r="16" spans="1:6" ht="12.75">
      <c r="A16" s="124" t="s">
        <v>73</v>
      </c>
      <c r="B16" s="126">
        <v>721582.606791599</v>
      </c>
      <c r="C16" s="126">
        <v>796880.0733422372</v>
      </c>
      <c r="D16" s="126">
        <v>18598529.043499067</v>
      </c>
      <c r="E16" s="126">
        <v>20592921.824057747</v>
      </c>
      <c r="F16" s="126">
        <f>F18*0.244</f>
        <v>747144.0117227418</v>
      </c>
    </row>
    <row r="17" spans="1:6" ht="12.75">
      <c r="A17" s="124" t="s">
        <v>74</v>
      </c>
      <c r="B17" s="126">
        <v>2153715.374189236</v>
      </c>
      <c r="C17" s="126">
        <v>2378456.53316571</v>
      </c>
      <c r="D17" s="126">
        <v>55222022.54854539</v>
      </c>
      <c r="E17" s="126">
        <v>61734196.35516739</v>
      </c>
      <c r="F17" s="126">
        <f>F18-F16</f>
        <v>2314921.610091774</v>
      </c>
    </row>
    <row r="18" spans="1:6" ht="12.75">
      <c r="A18" s="124" t="s">
        <v>76</v>
      </c>
      <c r="B18" s="126">
        <v>2875297.980980835</v>
      </c>
      <c r="C18" s="126">
        <v>3175336.606507947</v>
      </c>
      <c r="D18" s="126">
        <f>D16+D17</f>
        <v>73820551.59204446</v>
      </c>
      <c r="E18" s="126">
        <f>E16+E17</f>
        <v>82327118.17922513</v>
      </c>
      <c r="F18" s="126">
        <v>3062065.6218145154</v>
      </c>
    </row>
    <row r="19" spans="1:6" s="9" customFormat="1" ht="12.75">
      <c r="A19" s="127" t="s">
        <v>14</v>
      </c>
      <c r="B19" s="128">
        <v>1205161.4435980022</v>
      </c>
      <c r="C19" s="128">
        <v>1671341.6874906193</v>
      </c>
      <c r="D19" s="128">
        <v>0</v>
      </c>
      <c r="E19" s="128">
        <v>0</v>
      </c>
      <c r="F19" s="128">
        <v>0</v>
      </c>
    </row>
    <row r="20" spans="1:6" s="2" customFormat="1" ht="12.75">
      <c r="A20" s="122" t="s">
        <v>11</v>
      </c>
      <c r="B20" s="123">
        <f>B14+B15+B18+B19</f>
        <v>6485107.158772113</v>
      </c>
      <c r="C20" s="123">
        <f>C14+C15+C18+C19</f>
        <v>7382344.703326276</v>
      </c>
      <c r="D20" s="123">
        <f>D14+D15+D18+D19</f>
        <v>150239663.44744688</v>
      </c>
      <c r="E20" s="123">
        <f>E14+E15+E18+E19</f>
        <v>167552236.62102705</v>
      </c>
      <c r="F20" s="123">
        <f>F14+F15+F18+F19</f>
        <v>5454278.629672056</v>
      </c>
    </row>
    <row r="21" spans="1:6" ht="6" customHeight="1">
      <c r="A21" s="124"/>
      <c r="B21" s="121"/>
      <c r="C21" s="121"/>
      <c r="D21" s="121"/>
      <c r="E21" s="121"/>
      <c r="F21" s="121"/>
    </row>
    <row r="22" spans="1:6" ht="12.75">
      <c r="A22" s="124" t="s">
        <v>4</v>
      </c>
      <c r="B22" s="126">
        <v>665962.5200624219</v>
      </c>
      <c r="C22" s="126">
        <v>716471.6016251052</v>
      </c>
      <c r="D22" s="126">
        <v>18286843.02137324</v>
      </c>
      <c r="E22" s="126">
        <v>20394091.537887927</v>
      </c>
      <c r="F22" s="126">
        <v>525575.388646511</v>
      </c>
    </row>
    <row r="23" spans="1:6" s="9" customFormat="1" ht="12.75">
      <c r="A23" s="127" t="s">
        <v>5</v>
      </c>
      <c r="B23" s="128">
        <v>365351.43850175396</v>
      </c>
      <c r="C23" s="128">
        <v>422941.0808745685</v>
      </c>
      <c r="D23" s="128">
        <v>22338108.07722</v>
      </c>
      <c r="E23" s="128">
        <v>24633382.395468466</v>
      </c>
      <c r="F23" s="128">
        <v>403570.4509134289</v>
      </c>
    </row>
    <row r="24" spans="1:6" s="2" customFormat="1" ht="12.75">
      <c r="A24" s="122" t="s">
        <v>23</v>
      </c>
      <c r="B24" s="123">
        <f>SUM(B22:B23)</f>
        <v>1031313.9585641759</v>
      </c>
      <c r="C24" s="123">
        <f>SUM(C22:C23)</f>
        <v>1139412.6824996737</v>
      </c>
      <c r="D24" s="123">
        <f>D22+D23</f>
        <v>40624951.098593235</v>
      </c>
      <c r="E24" s="123">
        <f>E22+E23</f>
        <v>45027473.93335639</v>
      </c>
      <c r="F24" s="123">
        <f>SUM(F22:F23)</f>
        <v>929145.8395599399</v>
      </c>
    </row>
    <row r="25" spans="1:6" ht="6" customHeight="1">
      <c r="A25" s="124"/>
      <c r="B25" s="121"/>
      <c r="C25" s="121"/>
      <c r="D25" s="121"/>
      <c r="E25" s="121"/>
      <c r="F25" s="121"/>
    </row>
    <row r="26" spans="1:6" s="2" customFormat="1" ht="12.75">
      <c r="A26" s="129" t="s">
        <v>24</v>
      </c>
      <c r="B26" s="123">
        <f>B7+B12+B20+B24</f>
        <v>34667796.88745373</v>
      </c>
      <c r="C26" s="123">
        <f>C7+C12+C20+C24</f>
        <v>33888708.394582964</v>
      </c>
      <c r="D26" s="123">
        <f>D7+D12+D20+D24</f>
        <v>1124815520.6974525</v>
      </c>
      <c r="E26" s="123">
        <f>E7+E12+E20+E24</f>
        <v>1254152618.9937184</v>
      </c>
      <c r="F26" s="123">
        <f>F7+F12+F20+F24</f>
        <v>27556030.672780212</v>
      </c>
    </row>
    <row r="27" spans="1:6" s="20" customFormat="1" ht="8.25" customHeight="1">
      <c r="A27" s="124"/>
      <c r="B27" s="130"/>
      <c r="C27" s="130"/>
      <c r="D27" s="130"/>
      <c r="E27" s="130"/>
      <c r="F27" s="130"/>
    </row>
    <row r="28" spans="1:6" s="20" customFormat="1" ht="14.25" customHeight="1">
      <c r="A28" s="122" t="s">
        <v>22</v>
      </c>
      <c r="B28" s="130"/>
      <c r="C28" s="130"/>
      <c r="D28" s="130"/>
      <c r="E28" s="130"/>
      <c r="F28" s="130"/>
    </row>
    <row r="29" spans="1:6" s="20" customFormat="1" ht="12.75">
      <c r="A29" s="124" t="s">
        <v>6</v>
      </c>
      <c r="B29" s="131">
        <v>0</v>
      </c>
      <c r="C29" s="131">
        <v>0</v>
      </c>
      <c r="D29" s="131">
        <v>1094660</v>
      </c>
      <c r="E29" s="131">
        <v>1094660</v>
      </c>
      <c r="F29" s="131"/>
    </row>
    <row r="30" spans="1:6" s="20" customFormat="1" ht="12.75">
      <c r="A30" s="124" t="s">
        <v>38</v>
      </c>
      <c r="B30" s="130"/>
      <c r="C30" s="130"/>
      <c r="D30" s="130"/>
      <c r="E30" s="130"/>
      <c r="F30" s="130"/>
    </row>
    <row r="31" spans="1:6" s="20" customFormat="1" ht="12.75">
      <c r="A31" s="132" t="s">
        <v>12</v>
      </c>
      <c r="B31" s="131">
        <v>0</v>
      </c>
      <c r="C31" s="131">
        <v>419450.54009040515</v>
      </c>
      <c r="D31" s="131">
        <v>10282532</v>
      </c>
      <c r="E31" s="131">
        <v>10282532</v>
      </c>
      <c r="F31" s="131">
        <v>290428.52609767375</v>
      </c>
    </row>
    <row r="32" spans="1:6" s="20" customFormat="1" ht="12.75">
      <c r="A32" s="132" t="s">
        <v>13</v>
      </c>
      <c r="B32" s="131">
        <v>0</v>
      </c>
      <c r="C32" s="131">
        <v>0</v>
      </c>
      <c r="D32" s="131">
        <v>9934827</v>
      </c>
      <c r="E32" s="131">
        <v>9934827</v>
      </c>
      <c r="F32" s="131"/>
    </row>
    <row r="33" spans="1:6" s="21" customFormat="1" ht="12.75">
      <c r="A33" s="133" t="s">
        <v>81</v>
      </c>
      <c r="B33" s="134"/>
      <c r="C33" s="134"/>
      <c r="D33" s="134">
        <v>21183202</v>
      </c>
      <c r="E33" s="134">
        <v>21183202</v>
      </c>
      <c r="F33" s="134">
        <v>1330573.3497849514</v>
      </c>
    </row>
    <row r="34" spans="1:6" s="2" customFormat="1" ht="12.75">
      <c r="A34" s="129" t="s">
        <v>25</v>
      </c>
      <c r="B34" s="123">
        <f>SUM(B29:B32)</f>
        <v>0</v>
      </c>
      <c r="C34" s="123">
        <f>SUM(C29:C32)</f>
        <v>419450.54009040515</v>
      </c>
      <c r="D34" s="123">
        <f>SUM(D29:D33)</f>
        <v>42495221</v>
      </c>
      <c r="E34" s="123">
        <f>SUM(E29:E33)</f>
        <v>42495221</v>
      </c>
      <c r="F34" s="123">
        <f>SUM(F29:F33)</f>
        <v>1621001.875882625</v>
      </c>
    </row>
    <row r="35" spans="1:6" s="2" customFormat="1" ht="12.75">
      <c r="A35" s="129"/>
      <c r="B35" s="118"/>
      <c r="C35" s="118"/>
      <c r="D35" s="118"/>
      <c r="E35" s="118"/>
      <c r="F35" s="118"/>
    </row>
    <row r="36" spans="1:6" s="2" customFormat="1" ht="12.75">
      <c r="A36" s="129" t="s">
        <v>47</v>
      </c>
      <c r="B36" s="123">
        <v>0</v>
      </c>
      <c r="C36" s="123">
        <v>0</v>
      </c>
      <c r="D36" s="123">
        <v>1565170</v>
      </c>
      <c r="E36" s="123">
        <v>1962838.6943564923</v>
      </c>
      <c r="F36" s="123">
        <v>0</v>
      </c>
    </row>
    <row r="37" spans="1:6" s="2" customFormat="1" ht="12.75">
      <c r="A37" s="129" t="s">
        <v>48</v>
      </c>
      <c r="B37" s="118"/>
      <c r="C37" s="118"/>
      <c r="D37" s="118"/>
      <c r="E37" s="118"/>
      <c r="F37" s="118"/>
    </row>
    <row r="38" spans="1:6" s="2" customFormat="1" ht="12.75">
      <c r="A38" s="129" t="s">
        <v>49</v>
      </c>
      <c r="B38" s="123">
        <f>B36+B37</f>
        <v>0</v>
      </c>
      <c r="C38" s="123">
        <f>C36+C37</f>
        <v>0</v>
      </c>
      <c r="D38" s="123">
        <f>D36+D37</f>
        <v>1565170</v>
      </c>
      <c r="E38" s="123">
        <f>E36+E37</f>
        <v>1962838.6943564923</v>
      </c>
      <c r="F38" s="123">
        <f>F36+F37</f>
        <v>0</v>
      </c>
    </row>
    <row r="39" spans="1:6" s="20" customFormat="1" ht="6.75" customHeight="1">
      <c r="A39" s="124"/>
      <c r="B39" s="130"/>
      <c r="C39" s="130"/>
      <c r="D39" s="130"/>
      <c r="E39" s="130"/>
      <c r="F39" s="130"/>
    </row>
    <row r="40" spans="1:6" s="2" customFormat="1" ht="12.75">
      <c r="A40" s="122" t="s">
        <v>15</v>
      </c>
      <c r="B40" s="135">
        <f>+B26+B34+B38</f>
        <v>34667796.88745373</v>
      </c>
      <c r="C40" s="135">
        <f>+C26+C34+C38</f>
        <v>34308158.93467337</v>
      </c>
      <c r="D40" s="135">
        <f>+D26+D34+D38</f>
        <v>1168875911.6974525</v>
      </c>
      <c r="E40" s="135">
        <f>+E26+E34+E38</f>
        <v>1298610678.6880748</v>
      </c>
      <c r="F40" s="135">
        <f>F26+F34+F38</f>
        <v>29177032.548662838</v>
      </c>
    </row>
    <row r="41" spans="1:6" s="20" customFormat="1" ht="7.5" customHeight="1">
      <c r="A41" s="124"/>
      <c r="B41" s="130"/>
      <c r="C41" s="130"/>
      <c r="D41" s="130"/>
      <c r="E41" s="130"/>
      <c r="F41" s="130"/>
    </row>
    <row r="42" spans="1:6" s="20" customFormat="1" ht="12.75">
      <c r="A42" s="130" t="s">
        <v>16</v>
      </c>
      <c r="B42" s="131">
        <v>0</v>
      </c>
      <c r="C42" s="131">
        <v>0</v>
      </c>
      <c r="D42" s="131">
        <v>1806823</v>
      </c>
      <c r="E42" s="131">
        <v>1806823</v>
      </c>
      <c r="F42" s="131">
        <v>0</v>
      </c>
    </row>
    <row r="43" spans="1:6" s="20" customFormat="1" ht="6.75" customHeight="1">
      <c r="A43" s="130"/>
      <c r="B43" s="130"/>
      <c r="C43" s="130"/>
      <c r="D43" s="130"/>
      <c r="E43" s="130"/>
      <c r="F43" s="130"/>
    </row>
    <row r="44" spans="1:6" s="2" customFormat="1" ht="12.75">
      <c r="A44" s="118" t="s">
        <v>17</v>
      </c>
      <c r="B44" s="123">
        <f>B40+B42</f>
        <v>34667796.88745373</v>
      </c>
      <c r="C44" s="123">
        <f>C40+C42</f>
        <v>34308158.93467337</v>
      </c>
      <c r="D44" s="123">
        <f>D40+D42</f>
        <v>1170682734.6974525</v>
      </c>
      <c r="E44" s="123">
        <f>E40+E42</f>
        <v>1300417501.6880748</v>
      </c>
      <c r="F44" s="123">
        <f>F40+F42</f>
        <v>29177032.548662838</v>
      </c>
    </row>
    <row r="45" spans="1:6" s="20" customFormat="1" ht="6.75" customHeight="1">
      <c r="A45" s="130"/>
      <c r="B45" s="130"/>
      <c r="C45" s="130"/>
      <c r="D45" s="130"/>
      <c r="E45" s="130"/>
      <c r="F45" s="130"/>
    </row>
    <row r="46" spans="1:6" s="20" customFormat="1" ht="12.75">
      <c r="A46" s="118" t="s">
        <v>18</v>
      </c>
      <c r="B46" s="130"/>
      <c r="C46" s="130"/>
      <c r="D46" s="130"/>
      <c r="E46" s="130"/>
      <c r="F46" s="130"/>
    </row>
    <row r="47" spans="1:6" s="20" customFormat="1" ht="12.75">
      <c r="A47" s="130" t="s">
        <v>43</v>
      </c>
      <c r="B47" s="131">
        <v>0</v>
      </c>
      <c r="C47" s="131">
        <v>0</v>
      </c>
      <c r="D47" s="131">
        <v>21959248.80253</v>
      </c>
      <c r="E47" s="131">
        <v>22582498.31192314</v>
      </c>
      <c r="F47" s="131">
        <v>0</v>
      </c>
    </row>
    <row r="48" spans="1:6" s="20" customFormat="1" ht="12.75">
      <c r="A48" s="124" t="s">
        <v>44</v>
      </c>
      <c r="B48" s="130"/>
      <c r="C48" s="130"/>
      <c r="D48" s="130"/>
      <c r="E48" s="130"/>
      <c r="F48" s="130"/>
    </row>
    <row r="49" spans="1:6" s="20" customFormat="1" ht="12.75">
      <c r="A49" s="124" t="s">
        <v>45</v>
      </c>
      <c r="B49" s="131">
        <f>SUM(B47:B48)</f>
        <v>0</v>
      </c>
      <c r="C49" s="131">
        <f>SUM(C47:C48)</f>
        <v>0</v>
      </c>
      <c r="D49" s="131">
        <f>SUM(D47:D48)</f>
        <v>21959248.80253</v>
      </c>
      <c r="E49" s="131">
        <f>SUM(E47:E48)</f>
        <v>22582498.31192314</v>
      </c>
      <c r="F49" s="131">
        <f>SUM(F47:F48)</f>
        <v>0</v>
      </c>
    </row>
    <row r="50" spans="1:6" s="20" customFormat="1" ht="12.75">
      <c r="A50" s="130"/>
      <c r="B50" s="130"/>
      <c r="C50" s="130"/>
      <c r="D50" s="130"/>
      <c r="E50" s="130"/>
      <c r="F50" s="130"/>
    </row>
    <row r="51" spans="1:6" s="2" customFormat="1" ht="25.5">
      <c r="A51" s="136" t="s">
        <v>19</v>
      </c>
      <c r="B51" s="123">
        <f>B44+B49</f>
        <v>34667796.88745373</v>
      </c>
      <c r="C51" s="123">
        <f>C44+C49</f>
        <v>34308158.93467337</v>
      </c>
      <c r="D51" s="123">
        <f>D44+D49</f>
        <v>1192641983.4999826</v>
      </c>
      <c r="E51" s="123">
        <f>E44+E49</f>
        <v>1322999999.9999979</v>
      </c>
      <c r="F51" s="123">
        <f>F44+F49</f>
        <v>29177032.548662838</v>
      </c>
    </row>
    <row r="52" s="20" customFormat="1" ht="12.75"/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4"/>
    </row>
    <row r="65" ht="12.75">
      <c r="A65" s="4"/>
    </row>
    <row r="66" ht="12.75">
      <c r="A66" s="3"/>
    </row>
    <row r="67" ht="12.75">
      <c r="A67" s="3"/>
    </row>
    <row r="68" ht="12.75">
      <c r="A68" s="3"/>
    </row>
    <row r="70" ht="12.75">
      <c r="A70" s="3"/>
    </row>
  </sheetData>
  <sheetProtection/>
  <mergeCells count="2">
    <mergeCell ref="D3:F3"/>
    <mergeCell ref="B3:C3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tabSelected="1" zoomScalePageLayoutView="0" workbookViewId="0" topLeftCell="A37">
      <selection activeCell="I55" sqref="I55"/>
    </sheetView>
  </sheetViews>
  <sheetFormatPr defaultColWidth="9.140625" defaultRowHeight="12.75"/>
  <cols>
    <col min="1" max="1" width="3.00390625" style="0" bestFit="1" customWidth="1"/>
    <col min="2" max="2" width="26.28125" style="0" bestFit="1" customWidth="1"/>
    <col min="3" max="3" width="10.7109375" style="0" bestFit="1" customWidth="1"/>
    <col min="4" max="4" width="16.421875" style="0" bestFit="1" customWidth="1"/>
    <col min="5" max="5" width="13.421875" style="0" bestFit="1" customWidth="1"/>
    <col min="6" max="6" width="12.7109375" style="0" bestFit="1" customWidth="1"/>
    <col min="7" max="7" width="17.00390625" style="0" bestFit="1" customWidth="1"/>
    <col min="8" max="9" width="14.421875" style="0" bestFit="1" customWidth="1"/>
    <col min="10" max="10" width="10.57421875" style="0" customWidth="1"/>
    <col min="11" max="11" width="14.140625" style="0" bestFit="1" customWidth="1"/>
    <col min="12" max="12" width="10.57421875" style="0" customWidth="1"/>
    <col min="13" max="13" width="12.28125" style="0" bestFit="1" customWidth="1"/>
    <col min="14" max="14" width="10.57421875" style="0" customWidth="1"/>
    <col min="15" max="15" width="11.7109375" style="0" bestFit="1" customWidth="1"/>
    <col min="16" max="17" width="11.7109375" style="0" customWidth="1"/>
    <col min="18" max="18" width="9.57421875" style="0" bestFit="1" customWidth="1"/>
    <col min="19" max="20" width="14.421875" style="0" bestFit="1" customWidth="1"/>
    <col min="21" max="21" width="9.8515625" style="0" customWidth="1"/>
    <col min="22" max="26" width="15.57421875" style="0" hidden="1" customWidth="1"/>
    <col min="27" max="27" width="5.421875" style="0" customWidth="1"/>
    <col min="28" max="28" width="14.421875" style="71" bestFit="1" customWidth="1"/>
  </cols>
  <sheetData>
    <row r="1" spans="2:26" ht="18">
      <c r="B1" s="10"/>
      <c r="C1" s="138" t="s">
        <v>86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2" spans="1:26" ht="65.25" customHeight="1">
      <c r="A2">
        <v>1</v>
      </c>
      <c r="B2" s="37" t="s">
        <v>20</v>
      </c>
      <c r="C2" s="58" t="s">
        <v>80</v>
      </c>
      <c r="D2" s="115" t="s">
        <v>77</v>
      </c>
      <c r="E2" s="59" t="s">
        <v>66</v>
      </c>
      <c r="F2" s="59" t="s">
        <v>67</v>
      </c>
      <c r="G2" s="59" t="s">
        <v>87</v>
      </c>
      <c r="H2" s="139" t="s">
        <v>78</v>
      </c>
      <c r="I2" s="140"/>
      <c r="J2" s="141"/>
      <c r="K2" s="142" t="s">
        <v>41</v>
      </c>
      <c r="L2" s="143"/>
      <c r="M2" s="143"/>
      <c r="N2" s="144"/>
      <c r="O2" s="142" t="s">
        <v>42</v>
      </c>
      <c r="P2" s="143"/>
      <c r="Q2" s="143"/>
      <c r="R2" s="144"/>
      <c r="S2" s="142" t="s">
        <v>88</v>
      </c>
      <c r="T2" s="143"/>
      <c r="U2" s="144"/>
      <c r="V2" s="145" t="s">
        <v>40</v>
      </c>
      <c r="W2" s="146"/>
      <c r="X2" s="147" t="s">
        <v>37</v>
      </c>
      <c r="Y2" s="145"/>
      <c r="Z2" s="146"/>
    </row>
    <row r="3" spans="1:27" ht="20.25">
      <c r="A3">
        <f>A2+1</f>
        <v>2</v>
      </c>
      <c r="B3" s="85" t="s">
        <v>69</v>
      </c>
      <c r="C3" s="85" t="s">
        <v>26</v>
      </c>
      <c r="D3" s="86" t="s">
        <v>30</v>
      </c>
      <c r="E3" s="86" t="s">
        <v>27</v>
      </c>
      <c r="F3" s="86" t="s">
        <v>28</v>
      </c>
      <c r="G3" s="105" t="s">
        <v>29</v>
      </c>
      <c r="H3" s="85" t="s">
        <v>55</v>
      </c>
      <c r="I3" s="86" t="s">
        <v>56</v>
      </c>
      <c r="J3" s="87" t="s">
        <v>70</v>
      </c>
      <c r="K3" s="85" t="s">
        <v>57</v>
      </c>
      <c r="L3" s="86" t="s">
        <v>63</v>
      </c>
      <c r="M3" s="86" t="s">
        <v>64</v>
      </c>
      <c r="N3" s="87" t="s">
        <v>71</v>
      </c>
      <c r="O3" s="85" t="s">
        <v>58</v>
      </c>
      <c r="P3" s="86" t="s">
        <v>59</v>
      </c>
      <c r="Q3" s="86" t="s">
        <v>60</v>
      </c>
      <c r="R3" s="87" t="s">
        <v>61</v>
      </c>
      <c r="S3" s="85" t="s">
        <v>62</v>
      </c>
      <c r="T3" s="86" t="s">
        <v>72</v>
      </c>
      <c r="U3" s="87" t="s">
        <v>65</v>
      </c>
      <c r="V3" s="86"/>
      <c r="W3" s="86"/>
      <c r="X3" s="86"/>
      <c r="Y3" s="86"/>
      <c r="Z3" s="86"/>
      <c r="AA3" s="84"/>
    </row>
    <row r="4" spans="1:26" ht="63.75">
      <c r="A4">
        <f aca="true" t="shared" si="0" ref="A4:A48">A3+1</f>
        <v>3</v>
      </c>
      <c r="B4" s="42"/>
      <c r="C4" s="43"/>
      <c r="D4" s="56"/>
      <c r="E4" s="56"/>
      <c r="F4" s="56"/>
      <c r="G4" s="56"/>
      <c r="H4" s="61" t="s">
        <v>31</v>
      </c>
      <c r="I4" s="62" t="s">
        <v>33</v>
      </c>
      <c r="J4" s="63" t="s">
        <v>54</v>
      </c>
      <c r="K4" s="65" t="s">
        <v>46</v>
      </c>
      <c r="L4" s="64" t="s">
        <v>79</v>
      </c>
      <c r="M4" s="64" t="s">
        <v>32</v>
      </c>
      <c r="N4" s="63" t="s">
        <v>54</v>
      </c>
      <c r="O4" s="65" t="s">
        <v>46</v>
      </c>
      <c r="P4" s="64" t="s">
        <v>79</v>
      </c>
      <c r="Q4" s="64" t="s">
        <v>32</v>
      </c>
      <c r="R4" s="63" t="s">
        <v>54</v>
      </c>
      <c r="S4" s="65" t="s">
        <v>31</v>
      </c>
      <c r="T4" s="66" t="s">
        <v>32</v>
      </c>
      <c r="U4" s="63" t="s">
        <v>54</v>
      </c>
      <c r="V4" s="55" t="s">
        <v>31</v>
      </c>
      <c r="W4" s="47" t="s">
        <v>34</v>
      </c>
      <c r="X4" s="44" t="s">
        <v>31</v>
      </c>
      <c r="Y4" s="45" t="s">
        <v>32</v>
      </c>
      <c r="Z4" s="46" t="s">
        <v>35</v>
      </c>
    </row>
    <row r="5" spans="1:26" ht="12.75">
      <c r="A5">
        <f t="shared" si="0"/>
        <v>4</v>
      </c>
      <c r="B5" s="26" t="s">
        <v>21</v>
      </c>
      <c r="C5" s="8"/>
      <c r="D5" s="7"/>
      <c r="E5" s="57"/>
      <c r="F5" s="57"/>
      <c r="G5" s="7"/>
      <c r="H5" s="22"/>
      <c r="I5" s="1"/>
      <c r="J5" s="23"/>
      <c r="K5" s="1"/>
      <c r="L5" s="1"/>
      <c r="M5" s="1"/>
      <c r="N5" s="1"/>
      <c r="O5" s="22"/>
      <c r="P5" s="1"/>
      <c r="Q5" s="1"/>
      <c r="R5" s="1"/>
      <c r="S5" s="24"/>
      <c r="T5" s="11"/>
      <c r="U5" s="23"/>
      <c r="V5" s="22"/>
      <c r="W5" s="23"/>
      <c r="X5" s="22"/>
      <c r="Y5" s="1"/>
      <c r="Z5" s="23"/>
    </row>
    <row r="6" spans="1:28" ht="12.75">
      <c r="A6">
        <f t="shared" si="0"/>
        <v>5</v>
      </c>
      <c r="B6" s="27" t="s">
        <v>8</v>
      </c>
      <c r="C6" s="12">
        <v>4273.208828</v>
      </c>
      <c r="D6" s="72">
        <f>database!D7</f>
        <v>588717083.202889</v>
      </c>
      <c r="E6" s="72">
        <f>database!B7</f>
        <v>15729855.39635859</v>
      </c>
      <c r="F6" s="72">
        <f>database!C7</f>
        <v>13940592.104265573</v>
      </c>
      <c r="G6" s="13">
        <f>D6+E6+F6</f>
        <v>618387530.7035131</v>
      </c>
      <c r="H6" s="32">
        <f>database!E7</f>
        <v>656556742.5019921</v>
      </c>
      <c r="I6" s="13">
        <f>+H6-D6</f>
        <v>67839659.29910314</v>
      </c>
      <c r="J6" s="36">
        <f>+I6/G6</f>
        <v>0.10970411906903241</v>
      </c>
      <c r="K6" s="32">
        <f>E6</f>
        <v>15729855.39635859</v>
      </c>
      <c r="L6" s="13">
        <v>0</v>
      </c>
      <c r="M6" s="111">
        <f>L6-K6</f>
        <v>-15729855.39635859</v>
      </c>
      <c r="N6" s="78">
        <f>+M6/G6</f>
        <v>-0.02543688967735718</v>
      </c>
      <c r="O6" s="32">
        <f>F6</f>
        <v>13940592.104265573</v>
      </c>
      <c r="P6" s="13">
        <f>database!F7</f>
        <v>11528175.200903017</v>
      </c>
      <c r="Q6" s="111">
        <f>P6-O6</f>
        <v>-2412416.9033625554</v>
      </c>
      <c r="R6" s="78">
        <f>+Q6/G6</f>
        <v>-0.0039011409247176306</v>
      </c>
      <c r="S6" s="32">
        <f>+H6+L6+P6</f>
        <v>668084917.7028952</v>
      </c>
      <c r="T6" s="13">
        <f>S6-G6</f>
        <v>49697386.99938202</v>
      </c>
      <c r="U6" s="36">
        <f>T6/G6</f>
        <v>0.08036608846695764</v>
      </c>
      <c r="V6" s="32" t="e">
        <f>+database!#REF!</f>
        <v>#REF!</v>
      </c>
      <c r="W6" s="36" t="e">
        <f>+V6/D6</f>
        <v>#REF!</v>
      </c>
      <c r="X6" s="32" t="e">
        <f>+S6+V6</f>
        <v>#REF!</v>
      </c>
      <c r="Y6" s="13" t="e">
        <f>+X6-D6</f>
        <v>#REF!</v>
      </c>
      <c r="Z6" s="36" t="e">
        <f>+Y6/G6</f>
        <v>#REF!</v>
      </c>
      <c r="AB6" s="106"/>
    </row>
    <row r="7" spans="1:26" ht="12.75">
      <c r="A7">
        <f t="shared" si="0"/>
        <v>6</v>
      </c>
      <c r="B7" s="28"/>
      <c r="C7" s="14"/>
      <c r="D7" s="73"/>
      <c r="E7" s="73"/>
      <c r="F7" s="73"/>
      <c r="G7" s="15"/>
      <c r="H7" s="33"/>
      <c r="I7" s="15"/>
      <c r="J7" s="50"/>
      <c r="K7" s="33"/>
      <c r="L7" s="15"/>
      <c r="M7" s="15"/>
      <c r="N7" s="77"/>
      <c r="O7" s="33"/>
      <c r="P7" s="15"/>
      <c r="Q7" s="15"/>
      <c r="R7" s="77"/>
      <c r="S7" s="33"/>
      <c r="T7" s="15"/>
      <c r="U7" s="50"/>
      <c r="V7" s="33"/>
      <c r="W7" s="50"/>
      <c r="X7" s="33"/>
      <c r="Y7" s="15"/>
      <c r="Z7" s="50"/>
    </row>
    <row r="8" spans="1:28" ht="12.75">
      <c r="A8">
        <f t="shared" si="0"/>
        <v>7</v>
      </c>
      <c r="B8" s="38" t="s">
        <v>0</v>
      </c>
      <c r="C8" s="14">
        <v>231.27671</v>
      </c>
      <c r="D8" s="73">
        <f>database!D9</f>
        <v>31454191.894843403</v>
      </c>
      <c r="E8" s="73">
        <f>database!B9</f>
        <v>836569.9890911216</v>
      </c>
      <c r="F8" s="73">
        <f>database!C9</f>
        <v>784960.1308079566</v>
      </c>
      <c r="G8" s="15">
        <f>D8+E8+F8</f>
        <v>33075722.01474248</v>
      </c>
      <c r="H8" s="33">
        <f>database!E9</f>
        <v>35078754.0530633</v>
      </c>
      <c r="I8" s="15">
        <f>+H8-D8</f>
        <v>3624562.1582199</v>
      </c>
      <c r="J8" s="50">
        <f>+I8/G8</f>
        <v>0.1095837652948094</v>
      </c>
      <c r="K8" s="33">
        <f>E8</f>
        <v>836569.9890911216</v>
      </c>
      <c r="L8" s="15">
        <v>0</v>
      </c>
      <c r="M8" s="112">
        <f>L8-K8</f>
        <v>-836569.9890911216</v>
      </c>
      <c r="N8" s="48">
        <f>+M8/G8</f>
        <v>-0.02529256923607734</v>
      </c>
      <c r="O8" s="33">
        <f>F8</f>
        <v>784960.1308079566</v>
      </c>
      <c r="P8" s="15">
        <f>database!F9</f>
        <v>663039.8340477052</v>
      </c>
      <c r="Q8" s="112">
        <f>P8-O8</f>
        <v>-121920.2967602514</v>
      </c>
      <c r="R8" s="48">
        <f>+Q8/G8</f>
        <v>-0.003686096306708262</v>
      </c>
      <c r="S8" s="33">
        <f>+H8+L8+P8</f>
        <v>35741793.88711101</v>
      </c>
      <c r="T8" s="15">
        <f>S8-G8</f>
        <v>2666071.8723685294</v>
      </c>
      <c r="U8" s="50">
        <f>T8/G8</f>
        <v>0.08060509975202387</v>
      </c>
      <c r="V8" s="33" t="e">
        <f>+database!#REF!</f>
        <v>#REF!</v>
      </c>
      <c r="W8" s="50" t="e">
        <f>+V8/D8</f>
        <v>#REF!</v>
      </c>
      <c r="X8" s="33" t="e">
        <f>+S8+V8</f>
        <v>#REF!</v>
      </c>
      <c r="Y8" s="15" t="e">
        <f>+X8-D8</f>
        <v>#REF!</v>
      </c>
      <c r="Z8" s="50" t="e">
        <f>+Y8/G8</f>
        <v>#REF!</v>
      </c>
      <c r="AB8" s="80"/>
    </row>
    <row r="9" spans="1:28" ht="12.75">
      <c r="A9">
        <f t="shared" si="0"/>
        <v>8</v>
      </c>
      <c r="B9" s="28" t="s">
        <v>9</v>
      </c>
      <c r="C9" s="14">
        <v>2435.294956</v>
      </c>
      <c r="D9" s="73">
        <f>database!D10</f>
        <v>275984112.15196776</v>
      </c>
      <c r="E9" s="73">
        <f>database!B10</f>
        <v>9236100.686004808</v>
      </c>
      <c r="F9" s="73">
        <f>database!C10</f>
        <v>9197988.818109112</v>
      </c>
      <c r="G9" s="15">
        <f>D9+E9+F9</f>
        <v>294418201.6560817</v>
      </c>
      <c r="H9" s="33">
        <f>database!E10</f>
        <v>307786600.43461645</v>
      </c>
      <c r="I9" s="15">
        <f>+H9-D9</f>
        <v>31802488.282648683</v>
      </c>
      <c r="J9" s="50">
        <f>+I9/G9</f>
        <v>0.10801807803920384</v>
      </c>
      <c r="K9" s="33">
        <f>E9</f>
        <v>9236100.686004808</v>
      </c>
      <c r="L9" s="15">
        <v>0</v>
      </c>
      <c r="M9" s="112">
        <f>L9-K9</f>
        <v>-9236100.686004808</v>
      </c>
      <c r="N9" s="48">
        <f>+M9/G9</f>
        <v>-0.03137068508010847</v>
      </c>
      <c r="O9" s="33">
        <f>F9</f>
        <v>9197988.818109112</v>
      </c>
      <c r="P9" s="15">
        <f>database!F10</f>
        <v>7640243.683163606</v>
      </c>
      <c r="Q9" s="112">
        <f>P9-O9</f>
        <v>-1557745.1349455062</v>
      </c>
      <c r="R9" s="48">
        <f>+Q9/G9</f>
        <v>-0.005290926736809407</v>
      </c>
      <c r="S9" s="33">
        <f>+H9+L9+P9</f>
        <v>315426844.11778</v>
      </c>
      <c r="T9" s="15">
        <f>S9-G9</f>
        <v>21008642.461698353</v>
      </c>
      <c r="U9" s="50">
        <f>T9/G9</f>
        <v>0.0713564662222859</v>
      </c>
      <c r="V9" s="33" t="e">
        <f>+database!#REF!</f>
        <v>#REF!</v>
      </c>
      <c r="W9" s="50" t="e">
        <f>+V9/D9</f>
        <v>#REF!</v>
      </c>
      <c r="X9" s="33" t="e">
        <f>+S9+V9</f>
        <v>#REF!</v>
      </c>
      <c r="Y9" s="15" t="e">
        <f>+X9-D9</f>
        <v>#REF!</v>
      </c>
      <c r="Z9" s="50" t="e">
        <f>+Y9/G9</f>
        <v>#REF!</v>
      </c>
      <c r="AB9" s="80"/>
    </row>
    <row r="10" spans="1:28" ht="12.75">
      <c r="A10">
        <f t="shared" si="0"/>
        <v>9</v>
      </c>
      <c r="B10" s="39" t="s">
        <v>1</v>
      </c>
      <c r="C10" s="16">
        <v>396.294927</v>
      </c>
      <c r="D10" s="74">
        <f>database!D11</f>
        <v>37795518.90171224</v>
      </c>
      <c r="E10" s="74">
        <f>database!B11</f>
        <v>1348849.6986629148</v>
      </c>
      <c r="F10" s="74">
        <f>database!C11</f>
        <v>1443409.955574371</v>
      </c>
      <c r="G10" s="17">
        <f>D10+E10+F10</f>
        <v>40587778.555949524</v>
      </c>
      <c r="H10" s="34">
        <f>database!E11</f>
        <v>42150811.44966321</v>
      </c>
      <c r="I10" s="17">
        <f>+H10-D10</f>
        <v>4355292.547950968</v>
      </c>
      <c r="J10" s="41">
        <f>+I10/G10</f>
        <v>0.10730551665810623</v>
      </c>
      <c r="K10" s="34">
        <f>E10</f>
        <v>1348849.6986629148</v>
      </c>
      <c r="L10" s="17">
        <v>0</v>
      </c>
      <c r="M10" s="113">
        <f>L10-K10</f>
        <v>-1348849.6986629148</v>
      </c>
      <c r="N10" s="81">
        <f>+M10/G10</f>
        <v>-0.033232902776473706</v>
      </c>
      <c r="O10" s="34">
        <f>F10</f>
        <v>1443409.955574371</v>
      </c>
      <c r="P10" s="17">
        <f>database!F11</f>
        <v>1341147.4854338877</v>
      </c>
      <c r="Q10" s="113">
        <f>P10-O10</f>
        <v>-102262.47014048323</v>
      </c>
      <c r="R10" s="81">
        <f>+Q10/G10</f>
        <v>-0.002519538486185349</v>
      </c>
      <c r="S10" s="34">
        <f>+H10+L10+P10</f>
        <v>43491958.9350971</v>
      </c>
      <c r="T10" s="17">
        <f>S10-G10</f>
        <v>2904180.3791475743</v>
      </c>
      <c r="U10" s="41">
        <f>T10/G10</f>
        <v>0.07155307539544727</v>
      </c>
      <c r="V10" s="34" t="e">
        <f>+database!#REF!</f>
        <v>#REF!</v>
      </c>
      <c r="W10" s="41" t="e">
        <f>+V10/D10</f>
        <v>#REF!</v>
      </c>
      <c r="X10" s="34" t="e">
        <f>+S10+V10</f>
        <v>#REF!</v>
      </c>
      <c r="Y10" s="17" t="e">
        <f>+X10-D10</f>
        <v>#REF!</v>
      </c>
      <c r="Z10" s="41" t="e">
        <f>+Y10/G10</f>
        <v>#REF!</v>
      </c>
      <c r="AB10" s="80"/>
    </row>
    <row r="11" spans="1:28" ht="12.75">
      <c r="A11">
        <f t="shared" si="0"/>
        <v>10</v>
      </c>
      <c r="B11" s="27" t="s">
        <v>10</v>
      </c>
      <c r="C11" s="12">
        <f aca="true" t="shared" si="1" ref="C11:H11">SUM(C8:C10)</f>
        <v>3062.866593</v>
      </c>
      <c r="D11" s="72">
        <f t="shared" si="1"/>
        <v>345233822.9485234</v>
      </c>
      <c r="E11" s="72">
        <f t="shared" si="1"/>
        <v>11421520.373758845</v>
      </c>
      <c r="F11" s="72">
        <f t="shared" si="1"/>
        <v>11426358.90449144</v>
      </c>
      <c r="G11" s="13">
        <f t="shared" si="1"/>
        <v>368081702.2267737</v>
      </c>
      <c r="H11" s="32">
        <f t="shared" si="1"/>
        <v>385016165.93734294</v>
      </c>
      <c r="I11" s="13">
        <f>+H11-D11</f>
        <v>39782342.98881954</v>
      </c>
      <c r="J11" s="36">
        <f>+I11/G11</f>
        <v>0.10808019727182688</v>
      </c>
      <c r="K11" s="32">
        <f>SUM(K8:K10)</f>
        <v>11421520.373758845</v>
      </c>
      <c r="L11" s="13">
        <f>SUM(L8:L10)</f>
        <v>0</v>
      </c>
      <c r="M11" s="111">
        <f>L11-K11</f>
        <v>-11421520.373758845</v>
      </c>
      <c r="N11" s="78">
        <f>+M11/G11</f>
        <v>-0.031029850994120027</v>
      </c>
      <c r="O11" s="32">
        <f>F11</f>
        <v>11426358.90449144</v>
      </c>
      <c r="P11" s="13">
        <f>SUM(P8:P10)</f>
        <v>9644431.002645198</v>
      </c>
      <c r="Q11" s="111">
        <f>P11-O11</f>
        <v>-1781927.9018462412</v>
      </c>
      <c r="R11" s="78">
        <f>+Q11/G11</f>
        <v>-0.004841120574769572</v>
      </c>
      <c r="S11" s="32">
        <f>SUM(S8:S10)</f>
        <v>394660596.93998814</v>
      </c>
      <c r="T11" s="13">
        <f>S11-G11</f>
        <v>26578894.713214457</v>
      </c>
      <c r="U11" s="36">
        <f>T11/G11</f>
        <v>0.0722092257029373</v>
      </c>
      <c r="V11" s="32" t="e">
        <f>+database!#REF!</f>
        <v>#REF!</v>
      </c>
      <c r="W11" s="36" t="e">
        <f>+V11/D11</f>
        <v>#REF!</v>
      </c>
      <c r="X11" s="32" t="e">
        <f>+S11+V11</f>
        <v>#REF!</v>
      </c>
      <c r="Y11" s="13" t="e">
        <f>+X11-D11</f>
        <v>#REF!</v>
      </c>
      <c r="Z11" s="54" t="e">
        <f>+Y11/G11</f>
        <v>#REF!</v>
      </c>
      <c r="AB11" s="80"/>
    </row>
    <row r="12" spans="1:26" ht="12.75">
      <c r="A12">
        <f t="shared" si="0"/>
        <v>11</v>
      </c>
      <c r="B12" s="28"/>
      <c r="C12" s="14"/>
      <c r="D12" s="73"/>
      <c r="E12" s="73"/>
      <c r="F12" s="73"/>
      <c r="G12" s="15"/>
      <c r="H12" s="33"/>
      <c r="I12" s="15"/>
      <c r="J12" s="50"/>
      <c r="K12" s="33"/>
      <c r="L12" s="15"/>
      <c r="M12" s="15"/>
      <c r="N12" s="77"/>
      <c r="O12" s="33"/>
      <c r="P12" s="15"/>
      <c r="Q12" s="15"/>
      <c r="R12" s="77"/>
      <c r="S12" s="33">
        <f>+H12+L12+P12</f>
        <v>0</v>
      </c>
      <c r="T12" s="15"/>
      <c r="U12" s="50"/>
      <c r="V12" s="33"/>
      <c r="W12" s="50"/>
      <c r="X12" s="33"/>
      <c r="Y12" s="15"/>
      <c r="Z12" s="50"/>
    </row>
    <row r="13" spans="1:28" ht="12.75">
      <c r="A13">
        <f t="shared" si="0"/>
        <v>12</v>
      </c>
      <c r="B13" s="28" t="s">
        <v>2</v>
      </c>
      <c r="C13" s="14">
        <v>258.161462</v>
      </c>
      <c r="D13" s="73">
        <f>database!D14</f>
        <v>28459581.73596959</v>
      </c>
      <c r="E13" s="73">
        <f>database!B14</f>
        <v>834756.6549771931</v>
      </c>
      <c r="F13" s="73">
        <f>database!C14</f>
        <v>876178.2414095479</v>
      </c>
      <c r="G13" s="15">
        <f>D13+E13+F13</f>
        <v>30170516.63235633</v>
      </c>
      <c r="H13" s="33">
        <f>database!E14</f>
        <v>31739065.86145026</v>
      </c>
      <c r="I13" s="15">
        <f>+H13-D13</f>
        <v>3279484.1254806705</v>
      </c>
      <c r="J13" s="50">
        <f aca="true" t="shared" si="2" ref="J13:J19">+I13/G13</f>
        <v>0.10869830853223084</v>
      </c>
      <c r="K13" s="33">
        <f aca="true" t="shared" si="3" ref="K13:K18">E13</f>
        <v>834756.6549771931</v>
      </c>
      <c r="L13" s="15">
        <v>0</v>
      </c>
      <c r="M13" s="112">
        <f aca="true" t="shared" si="4" ref="M13:M19">L13-K13</f>
        <v>-834756.6549771931</v>
      </c>
      <c r="N13" s="48">
        <f aca="true" t="shared" si="5" ref="N13:N19">+M13/G13</f>
        <v>-0.02766796025235973</v>
      </c>
      <c r="O13" s="33">
        <f>F13</f>
        <v>876178.2414095479</v>
      </c>
      <c r="P13" s="15">
        <f>database!F14</f>
        <v>827566.6761845871</v>
      </c>
      <c r="Q13" s="112">
        <f>P13-O13</f>
        <v>-48611.565224960796</v>
      </c>
      <c r="R13" s="48">
        <f aca="true" t="shared" si="6" ref="R13:R19">+Q13/G13</f>
        <v>-0.0016112274714191466</v>
      </c>
      <c r="S13" s="33">
        <f>+H13+L13+P13</f>
        <v>32566632.537634846</v>
      </c>
      <c r="T13" s="15">
        <f aca="true" t="shared" si="7" ref="T13:T19">S13-G13</f>
        <v>2396115.905278515</v>
      </c>
      <c r="U13" s="50">
        <f aca="true" t="shared" si="8" ref="U13:U19">T13/G13</f>
        <v>0.07941912080845191</v>
      </c>
      <c r="V13" s="33" t="e">
        <f>+database!#REF!</f>
        <v>#REF!</v>
      </c>
      <c r="W13" s="50" t="e">
        <f>+V13/D13</f>
        <v>#REF!</v>
      </c>
      <c r="X13" s="33" t="e">
        <f>+S13+V13</f>
        <v>#REF!</v>
      </c>
      <c r="Y13" s="15" t="e">
        <f>+X13-D13</f>
        <v>#REF!</v>
      </c>
      <c r="Z13" s="50" t="e">
        <f>+Y13/G13</f>
        <v>#REF!</v>
      </c>
      <c r="AB13" s="80"/>
    </row>
    <row r="14" spans="1:28" ht="12.75">
      <c r="A14">
        <f t="shared" si="0"/>
        <v>13</v>
      </c>
      <c r="B14" s="28" t="s">
        <v>3</v>
      </c>
      <c r="C14" s="14">
        <v>498.772236</v>
      </c>
      <c r="D14" s="73">
        <f>database!D15</f>
        <v>47959530.119432814</v>
      </c>
      <c r="E14" s="73">
        <f>database!B15</f>
        <v>1569891.0792160828</v>
      </c>
      <c r="F14" s="73">
        <f>database!C15</f>
        <v>1659488.167918161</v>
      </c>
      <c r="G14" s="15">
        <f>D14+E14+F14</f>
        <v>51188909.36656706</v>
      </c>
      <c r="H14" s="33">
        <f>database!E15</f>
        <v>53486052.580351666</v>
      </c>
      <c r="I14" s="15">
        <f>+H14-D14</f>
        <v>5526522.460918851</v>
      </c>
      <c r="J14" s="50">
        <f t="shared" si="2"/>
        <v>0.10796327816525782</v>
      </c>
      <c r="K14" s="33">
        <f t="shared" si="3"/>
        <v>1569891.0792160828</v>
      </c>
      <c r="L14" s="15">
        <v>0</v>
      </c>
      <c r="M14" s="112">
        <f t="shared" si="4"/>
        <v>-1569891.0792160828</v>
      </c>
      <c r="N14" s="48">
        <f t="shared" si="5"/>
        <v>-0.03066857838235998</v>
      </c>
      <c r="O14" s="33">
        <f>F14</f>
        <v>1659488.167918161</v>
      </c>
      <c r="P14" s="15">
        <f>database!F15</f>
        <v>1564646.3316729537</v>
      </c>
      <c r="Q14" s="112">
        <f>P14-O14</f>
        <v>-94841.83624520735</v>
      </c>
      <c r="R14" s="48">
        <f t="shared" si="6"/>
        <v>-0.001852780952335571</v>
      </c>
      <c r="S14" s="33">
        <f>+H14+L14+P14</f>
        <v>55050698.91202462</v>
      </c>
      <c r="T14" s="15">
        <f t="shared" si="7"/>
        <v>3861789.545457557</v>
      </c>
      <c r="U14" s="50">
        <f t="shared" si="8"/>
        <v>0.07544191883056219</v>
      </c>
      <c r="V14" s="33" t="e">
        <f>+database!#REF!</f>
        <v>#REF!</v>
      </c>
      <c r="W14" s="50" t="e">
        <f>+V14/D14</f>
        <v>#REF!</v>
      </c>
      <c r="X14" s="33" t="e">
        <f>+S14+V14</f>
        <v>#REF!</v>
      </c>
      <c r="Y14" s="15" t="e">
        <f>+X14-D14</f>
        <v>#REF!</v>
      </c>
      <c r="Z14" s="50" t="e">
        <f>+Y14/G14</f>
        <v>#REF!</v>
      </c>
      <c r="AB14" s="80"/>
    </row>
    <row r="15" spans="1:28" s="88" customFormat="1" ht="12.75">
      <c r="A15">
        <f t="shared" si="0"/>
        <v>14</v>
      </c>
      <c r="B15" s="89" t="s">
        <v>73</v>
      </c>
      <c r="C15" s="90">
        <v>224.839215</v>
      </c>
      <c r="D15" s="91">
        <f>database!D16</f>
        <v>18598529.043499067</v>
      </c>
      <c r="E15" s="91">
        <f>database!B16</f>
        <v>721582.606791599</v>
      </c>
      <c r="F15" s="91">
        <f>database!C16</f>
        <v>796880.0733422372</v>
      </c>
      <c r="G15" s="92">
        <f>D15+E15+F15</f>
        <v>20116991.723632906</v>
      </c>
      <c r="H15" s="93">
        <f>database!E16</f>
        <v>20592921.824057747</v>
      </c>
      <c r="I15" s="92">
        <f>+H15-D15</f>
        <v>1994392.7805586793</v>
      </c>
      <c r="J15" s="94">
        <f t="shared" si="2"/>
        <v>0.09913971273427129</v>
      </c>
      <c r="K15" s="93">
        <f t="shared" si="3"/>
        <v>721582.606791599</v>
      </c>
      <c r="L15" s="92">
        <v>0</v>
      </c>
      <c r="M15" s="114">
        <f t="shared" si="4"/>
        <v>-721582.606791599</v>
      </c>
      <c r="N15" s="95">
        <f t="shared" si="5"/>
        <v>-0.0358693097210903</v>
      </c>
      <c r="O15" s="93">
        <f>F15</f>
        <v>796880.0733422372</v>
      </c>
      <c r="P15" s="92">
        <f>database!F16</f>
        <v>747144.0117227418</v>
      </c>
      <c r="Q15" s="114">
        <f>P15-O15</f>
        <v>-49736.06161949539</v>
      </c>
      <c r="R15" s="95">
        <f t="shared" si="6"/>
        <v>-0.0024723409097527635</v>
      </c>
      <c r="S15" s="93">
        <f>+H15+L15+P15</f>
        <v>21340065.83578049</v>
      </c>
      <c r="T15" s="92">
        <f t="shared" si="7"/>
        <v>1223074.1121475846</v>
      </c>
      <c r="U15" s="94">
        <f t="shared" si="8"/>
        <v>0.0607980621034282</v>
      </c>
      <c r="V15" s="93"/>
      <c r="W15" s="94"/>
      <c r="X15" s="93"/>
      <c r="Y15" s="92"/>
      <c r="Z15" s="94"/>
      <c r="AB15" s="96"/>
    </row>
    <row r="16" spans="1:34" s="88" customFormat="1" ht="12.75">
      <c r="A16">
        <f t="shared" si="0"/>
        <v>15</v>
      </c>
      <c r="B16" s="89" t="s">
        <v>74</v>
      </c>
      <c r="C16" s="97">
        <v>696.586409</v>
      </c>
      <c r="D16" s="98">
        <f>database!D17</f>
        <v>55222022.54854539</v>
      </c>
      <c r="E16" s="98">
        <f>database!B17</f>
        <v>2153715.374189236</v>
      </c>
      <c r="F16" s="98">
        <f>database!C17</f>
        <v>2378456.53316571</v>
      </c>
      <c r="G16" s="99">
        <f>D16+E16+F16</f>
        <v>59754194.455900334</v>
      </c>
      <c r="H16" s="100">
        <f>database!E17</f>
        <v>61734196.35516739</v>
      </c>
      <c r="I16" s="99">
        <f>+H16-D16</f>
        <v>6512173.806621999</v>
      </c>
      <c r="J16" s="101">
        <f t="shared" si="2"/>
        <v>0.10898270599946083</v>
      </c>
      <c r="K16" s="100">
        <f t="shared" si="3"/>
        <v>2153715.374189236</v>
      </c>
      <c r="L16" s="99">
        <v>0</v>
      </c>
      <c r="M16" s="114">
        <f t="shared" si="4"/>
        <v>-2153715.374189236</v>
      </c>
      <c r="N16" s="102">
        <f t="shared" si="5"/>
        <v>-0.036042915376906584</v>
      </c>
      <c r="O16" s="100">
        <f>F16</f>
        <v>2378456.53316571</v>
      </c>
      <c r="P16" s="99">
        <f>database!F17</f>
        <v>2314921.610091774</v>
      </c>
      <c r="Q16" s="114">
        <f>P16-O16</f>
        <v>-63534.923073936254</v>
      </c>
      <c r="R16" s="102">
        <f t="shared" si="6"/>
        <v>-0.0010632713511153794</v>
      </c>
      <c r="S16" s="100">
        <f>+H16+L16+P16</f>
        <v>64049117.965259165</v>
      </c>
      <c r="T16" s="99">
        <f t="shared" si="7"/>
        <v>4294923.509358831</v>
      </c>
      <c r="U16" s="41">
        <f t="shared" si="8"/>
        <v>0.07187651927143895</v>
      </c>
      <c r="V16" s="100"/>
      <c r="W16" s="101"/>
      <c r="X16" s="100"/>
      <c r="Y16" s="99"/>
      <c r="Z16" s="101"/>
      <c r="AA16" s="103"/>
      <c r="AB16" s="104"/>
      <c r="AC16" s="103"/>
      <c r="AD16" s="103"/>
      <c r="AE16" s="103"/>
      <c r="AF16" s="103"/>
      <c r="AG16" s="103"/>
      <c r="AH16" s="103"/>
    </row>
    <row r="17" spans="1:28" ht="12.75">
      <c r="A17">
        <f t="shared" si="0"/>
        <v>16</v>
      </c>
      <c r="B17" s="28" t="s">
        <v>75</v>
      </c>
      <c r="C17" s="14">
        <f>C15+C16</f>
        <v>921.425624</v>
      </c>
      <c r="D17" s="73">
        <f aca="true" t="shared" si="9" ref="D17:I17">SUM(D15:D16)</f>
        <v>73820551.59204446</v>
      </c>
      <c r="E17" s="73">
        <f t="shared" si="9"/>
        <v>2875297.980980835</v>
      </c>
      <c r="F17" s="73">
        <f t="shared" si="9"/>
        <v>3175336.606507947</v>
      </c>
      <c r="G17" s="15">
        <f>G15+G16</f>
        <v>79871186.17953324</v>
      </c>
      <c r="H17" s="33">
        <f t="shared" si="9"/>
        <v>82327118.17922513</v>
      </c>
      <c r="I17" s="15">
        <f t="shared" si="9"/>
        <v>8506566.587180678</v>
      </c>
      <c r="J17" s="50">
        <f t="shared" si="2"/>
        <v>0.10650357148896908</v>
      </c>
      <c r="K17" s="33">
        <f>K15+K16</f>
        <v>2875297.980980835</v>
      </c>
      <c r="L17" s="15">
        <f>L15+L16</f>
        <v>0</v>
      </c>
      <c r="M17" s="113">
        <f t="shared" si="4"/>
        <v>-2875297.980980835</v>
      </c>
      <c r="N17" s="48">
        <f t="shared" si="5"/>
        <v>-0.035999189676709994</v>
      </c>
      <c r="O17" s="33">
        <f>O15+O16</f>
        <v>3175336.606507947</v>
      </c>
      <c r="P17" s="15">
        <f>SUM(P15:P16)</f>
        <v>3062065.6218145154</v>
      </c>
      <c r="Q17" s="113">
        <f>SUM(Q15:Q16)</f>
        <v>-113270.98469343164</v>
      </c>
      <c r="R17" s="48">
        <f t="shared" si="6"/>
        <v>-0.0014181708086671312</v>
      </c>
      <c r="S17" s="33">
        <f>+H17+P17</f>
        <v>85389183.80103965</v>
      </c>
      <c r="T17" s="15">
        <f t="shared" si="7"/>
        <v>5517997.621506408</v>
      </c>
      <c r="U17" s="50">
        <f t="shared" si="8"/>
        <v>0.06908621100359191</v>
      </c>
      <c r="V17" s="33" t="e">
        <f>+database!#REF!</f>
        <v>#REF!</v>
      </c>
      <c r="W17" s="50" t="e">
        <f>+V17/D17</f>
        <v>#REF!</v>
      </c>
      <c r="X17" s="33" t="e">
        <f>+S17+V17</f>
        <v>#REF!</v>
      </c>
      <c r="Y17" s="15" t="e">
        <f>+X17-D17</f>
        <v>#REF!</v>
      </c>
      <c r="Z17" s="50" t="e">
        <f>+Y17/G17</f>
        <v>#REF!</v>
      </c>
      <c r="AB17" s="80"/>
    </row>
    <row r="18" spans="1:28" ht="12.75">
      <c r="A18">
        <f t="shared" si="0"/>
        <v>17</v>
      </c>
      <c r="B18" s="39" t="s">
        <v>68</v>
      </c>
      <c r="C18" s="16">
        <v>0</v>
      </c>
      <c r="D18" s="74">
        <f>database!D19</f>
        <v>0</v>
      </c>
      <c r="E18" s="74">
        <v>0</v>
      </c>
      <c r="F18" s="74">
        <v>0</v>
      </c>
      <c r="G18" s="17">
        <f>D18+E18+F18</f>
        <v>0</v>
      </c>
      <c r="H18" s="34">
        <f>database!E19</f>
        <v>0</v>
      </c>
      <c r="I18" s="17">
        <f>+H18-D18</f>
        <v>0</v>
      </c>
      <c r="J18" s="107" t="s">
        <v>53</v>
      </c>
      <c r="K18" s="34">
        <f t="shared" si="3"/>
        <v>0</v>
      </c>
      <c r="L18" s="17">
        <v>0</v>
      </c>
      <c r="M18" s="17">
        <f t="shared" si="4"/>
        <v>0</v>
      </c>
      <c r="N18" s="107" t="s">
        <v>53</v>
      </c>
      <c r="O18" s="34">
        <f>F18</f>
        <v>0</v>
      </c>
      <c r="P18" s="17">
        <f>database!F19</f>
        <v>0</v>
      </c>
      <c r="Q18" s="17">
        <f>P18-O18</f>
        <v>0</v>
      </c>
      <c r="R18" s="107" t="s">
        <v>53</v>
      </c>
      <c r="S18" s="34">
        <f>+H18+L18+P18</f>
        <v>0</v>
      </c>
      <c r="T18" s="17">
        <f t="shared" si="7"/>
        <v>0</v>
      </c>
      <c r="U18" s="107" t="s">
        <v>53</v>
      </c>
      <c r="V18" s="34" t="e">
        <f>+database!#REF!</f>
        <v>#REF!</v>
      </c>
      <c r="W18" s="41" t="e">
        <f>+V18/D18</f>
        <v>#REF!</v>
      </c>
      <c r="X18" s="34" t="e">
        <f>+S18+V18</f>
        <v>#REF!</v>
      </c>
      <c r="Y18" s="17" t="e">
        <f>+X18-D18</f>
        <v>#REF!</v>
      </c>
      <c r="Z18" s="41" t="e">
        <f>+Y18/G18</f>
        <v>#REF!</v>
      </c>
      <c r="AB18" s="80"/>
    </row>
    <row r="19" spans="1:28" ht="12.75">
      <c r="A19">
        <f t="shared" si="0"/>
        <v>18</v>
      </c>
      <c r="B19" s="27" t="s">
        <v>11</v>
      </c>
      <c r="C19" s="12">
        <f aca="true" t="shared" si="10" ref="C19:H19">C13+C14+C17+C18</f>
        <v>1678.359322</v>
      </c>
      <c r="D19" s="72">
        <f t="shared" si="10"/>
        <v>150239663.44744688</v>
      </c>
      <c r="E19" s="72">
        <f t="shared" si="10"/>
        <v>5279945.715174111</v>
      </c>
      <c r="F19" s="72">
        <f t="shared" si="10"/>
        <v>5711003.015835656</v>
      </c>
      <c r="G19" s="13">
        <f t="shared" si="10"/>
        <v>161230612.17845663</v>
      </c>
      <c r="H19" s="32">
        <f t="shared" si="10"/>
        <v>167552236.62102705</v>
      </c>
      <c r="I19" s="13">
        <f>+H19-D19</f>
        <v>17312573.17358017</v>
      </c>
      <c r="J19" s="36">
        <f t="shared" si="2"/>
        <v>0.10737770538523979</v>
      </c>
      <c r="K19" s="32">
        <f>K13+K14+K17+K18</f>
        <v>5279945.715174111</v>
      </c>
      <c r="L19" s="13">
        <f>L13+L14+L17+L18</f>
        <v>0</v>
      </c>
      <c r="M19" s="111">
        <f t="shared" si="4"/>
        <v>-5279945.715174111</v>
      </c>
      <c r="N19" s="78">
        <f t="shared" si="5"/>
        <v>-0.03274778681191169</v>
      </c>
      <c r="O19" s="32">
        <f>O13+O14+O17+O18</f>
        <v>5711003.015835656</v>
      </c>
      <c r="P19" s="13">
        <f>P13+P14+P17+P18</f>
        <v>5454278.629672056</v>
      </c>
      <c r="Q19" s="111">
        <f>P19-O19</f>
        <v>-256724.3861635998</v>
      </c>
      <c r="R19" s="78">
        <f t="shared" si="6"/>
        <v>-0.0015922806636710326</v>
      </c>
      <c r="S19" s="32">
        <f>S13+S14+S17+S18</f>
        <v>173006515.2506991</v>
      </c>
      <c r="T19" s="13">
        <f t="shared" si="7"/>
        <v>11775903.072242469</v>
      </c>
      <c r="U19" s="36">
        <f t="shared" si="8"/>
        <v>0.07303763790965712</v>
      </c>
      <c r="V19" s="32" t="e">
        <f>+database!#REF!</f>
        <v>#REF!</v>
      </c>
      <c r="W19" s="36" t="e">
        <f>+V19/D19</f>
        <v>#REF!</v>
      </c>
      <c r="X19" s="32" t="e">
        <f>+S19+V19</f>
        <v>#REF!</v>
      </c>
      <c r="Y19" s="13" t="e">
        <f>+X19-D19</f>
        <v>#REF!</v>
      </c>
      <c r="Z19" s="36" t="e">
        <f>+Y19/G19</f>
        <v>#REF!</v>
      </c>
      <c r="AB19" s="80"/>
    </row>
    <row r="20" spans="1:26" ht="12.75">
      <c r="A20">
        <f t="shared" si="0"/>
        <v>19</v>
      </c>
      <c r="B20" s="28"/>
      <c r="C20" s="14"/>
      <c r="D20" s="73"/>
      <c r="E20" s="73"/>
      <c r="F20" s="73"/>
      <c r="G20" s="15"/>
      <c r="H20" s="33"/>
      <c r="I20" s="15"/>
      <c r="J20" s="50"/>
      <c r="K20" s="33"/>
      <c r="L20" s="15"/>
      <c r="M20" s="15"/>
      <c r="N20" s="77"/>
      <c r="O20" s="33"/>
      <c r="P20" s="15"/>
      <c r="Q20" s="15"/>
      <c r="R20" s="77"/>
      <c r="S20" s="33"/>
      <c r="T20" s="15"/>
      <c r="U20" s="50"/>
      <c r="V20" s="33"/>
      <c r="W20" s="50"/>
      <c r="X20" s="33"/>
      <c r="Y20" s="15"/>
      <c r="Z20" s="50"/>
    </row>
    <row r="21" spans="1:28" ht="12.75">
      <c r="A21">
        <f t="shared" si="0"/>
        <v>20</v>
      </c>
      <c r="B21" s="28" t="s">
        <v>4</v>
      </c>
      <c r="C21" s="14">
        <v>192.648476</v>
      </c>
      <c r="D21" s="73">
        <f>database!D22</f>
        <v>18286843.02137324</v>
      </c>
      <c r="E21" s="73">
        <f>database!B22</f>
        <v>665962.5200624219</v>
      </c>
      <c r="F21" s="73">
        <f>database!C22</f>
        <v>716471.6016251052</v>
      </c>
      <c r="G21" s="15">
        <f>D21+E21+F21</f>
        <v>19669277.143060762</v>
      </c>
      <c r="H21" s="33">
        <f>database!E22</f>
        <v>20394091.537887927</v>
      </c>
      <c r="I21" s="15">
        <f>+H21-D21</f>
        <v>2107248.5165146887</v>
      </c>
      <c r="J21" s="50">
        <f>+I21/G21</f>
        <v>0.10713400910404666</v>
      </c>
      <c r="K21" s="33">
        <f>E21</f>
        <v>665962.5200624219</v>
      </c>
      <c r="L21" s="15">
        <v>0</v>
      </c>
      <c r="M21" s="112">
        <f>L21-K21</f>
        <v>-665962.5200624219</v>
      </c>
      <c r="N21" s="48">
        <f>+M21/G21</f>
        <v>-0.033858006840753206</v>
      </c>
      <c r="O21" s="33">
        <f>F21</f>
        <v>716471.6016251052</v>
      </c>
      <c r="P21" s="15">
        <f>database!F22</f>
        <v>525575.388646511</v>
      </c>
      <c r="Q21" s="112">
        <f>P21-O21</f>
        <v>-190896.21297859424</v>
      </c>
      <c r="R21" s="48">
        <f>+Q21/G21</f>
        <v>-0.009705298857204909</v>
      </c>
      <c r="S21" s="33">
        <f>+H21+L21+P21</f>
        <v>20919666.926534437</v>
      </c>
      <c r="T21" s="15">
        <f>S21-G21</f>
        <v>1250389.7834736742</v>
      </c>
      <c r="U21" s="50">
        <f>T21/G21</f>
        <v>0.06357070340608864</v>
      </c>
      <c r="V21" s="33" t="e">
        <f>+database!#REF!</f>
        <v>#REF!</v>
      </c>
      <c r="W21" s="50" t="e">
        <f>+V21/D21</f>
        <v>#REF!</v>
      </c>
      <c r="X21" s="33" t="e">
        <f>+S21+V21</f>
        <v>#REF!</v>
      </c>
      <c r="Y21" s="15" t="e">
        <f>+X21-D21</f>
        <v>#REF!</v>
      </c>
      <c r="Z21" s="50" t="e">
        <f>+Y21/G21</f>
        <v>#REF!</v>
      </c>
      <c r="AB21" s="80"/>
    </row>
    <row r="22" spans="1:28" ht="12.75">
      <c r="A22">
        <f t="shared" si="0"/>
        <v>21</v>
      </c>
      <c r="B22" s="39" t="s">
        <v>5</v>
      </c>
      <c r="C22" s="16">
        <v>104.393439</v>
      </c>
      <c r="D22" s="74">
        <f>database!D23</f>
        <v>22338108.07722</v>
      </c>
      <c r="E22" s="74">
        <f>database!B23</f>
        <v>365351.43850175396</v>
      </c>
      <c r="F22" s="74">
        <f>database!C23</f>
        <v>422941.0808745685</v>
      </c>
      <c r="G22" s="17">
        <f>D22+E22+F22</f>
        <v>23126400.596596323</v>
      </c>
      <c r="H22" s="34">
        <f>database!E23</f>
        <v>24633382.395468466</v>
      </c>
      <c r="I22" s="17">
        <f>+H22-D22</f>
        <v>2295274.3182484657</v>
      </c>
      <c r="J22" s="41">
        <f>+I22/G22</f>
        <v>0.09924909449965498</v>
      </c>
      <c r="K22" s="34">
        <f>E22</f>
        <v>365351.43850175396</v>
      </c>
      <c r="L22" s="17">
        <v>0</v>
      </c>
      <c r="M22" s="112">
        <f>L22-K22</f>
        <v>-365351.43850175396</v>
      </c>
      <c r="N22" s="81">
        <f>+M22/G22</f>
        <v>-0.01579802429590039</v>
      </c>
      <c r="O22" s="34">
        <f>F22</f>
        <v>422941.0808745685</v>
      </c>
      <c r="P22" s="17">
        <f>database!F23</f>
        <v>403570.4509134289</v>
      </c>
      <c r="Q22" s="112">
        <f>P22-O22</f>
        <v>-19370.62996113958</v>
      </c>
      <c r="R22" s="81">
        <f>+Q22/G22</f>
        <v>-0.0008375981329316977</v>
      </c>
      <c r="S22" s="34">
        <f>+H22+L22+P22</f>
        <v>25036952.846381895</v>
      </c>
      <c r="T22" s="17">
        <f>S22-G22</f>
        <v>1910552.2497855723</v>
      </c>
      <c r="U22" s="41">
        <f>T22/G22</f>
        <v>0.0826134720708229</v>
      </c>
      <c r="V22" s="34" t="e">
        <f>+database!#REF!</f>
        <v>#REF!</v>
      </c>
      <c r="W22" s="41" t="e">
        <f>+V22/D22</f>
        <v>#REF!</v>
      </c>
      <c r="X22" s="34" t="e">
        <f>+S22+V22</f>
        <v>#REF!</v>
      </c>
      <c r="Y22" s="17" t="e">
        <f>+X22-D22</f>
        <v>#REF!</v>
      </c>
      <c r="Z22" s="41" t="e">
        <f>+Y22/G22</f>
        <v>#REF!</v>
      </c>
      <c r="AB22" s="80"/>
    </row>
    <row r="23" spans="1:28" ht="12.75">
      <c r="A23">
        <f t="shared" si="0"/>
        <v>22</v>
      </c>
      <c r="B23" s="27" t="s">
        <v>23</v>
      </c>
      <c r="C23" s="12">
        <f>SUM(C21:C22)</f>
        <v>297.041915</v>
      </c>
      <c r="D23" s="72">
        <f>SUM(D21:D22)</f>
        <v>40624951.098593235</v>
      </c>
      <c r="E23" s="72">
        <f>SUM(E21:E22)</f>
        <v>1031313.9585641759</v>
      </c>
      <c r="F23" s="72">
        <f>SUM(F21:F22)</f>
        <v>1139412.6824996737</v>
      </c>
      <c r="G23" s="13">
        <f>G21+G22</f>
        <v>42795677.73965709</v>
      </c>
      <c r="H23" s="32">
        <f>SUM(H21:H22)</f>
        <v>45027473.93335639</v>
      </c>
      <c r="I23" s="13">
        <f>+H23-D23</f>
        <v>4402522.834763154</v>
      </c>
      <c r="J23" s="36">
        <f>+I23/G23</f>
        <v>0.1028730719383726</v>
      </c>
      <c r="K23" s="32">
        <f>SUM(K21:K22)</f>
        <v>1031313.9585641759</v>
      </c>
      <c r="L23" s="13">
        <f>L21+L22</f>
        <v>0</v>
      </c>
      <c r="M23" s="111">
        <f>L23-K23</f>
        <v>-1031313.9585641759</v>
      </c>
      <c r="N23" s="78">
        <f>+M23/G23</f>
        <v>-0.02409855417731818</v>
      </c>
      <c r="O23" s="32">
        <f>SUM(O21:O22)</f>
        <v>1139412.6824996737</v>
      </c>
      <c r="P23" s="13">
        <f>SUM(P21:P22)</f>
        <v>929145.8395599399</v>
      </c>
      <c r="Q23" s="111">
        <f>P23-O23</f>
        <v>-210266.84293973376</v>
      </c>
      <c r="R23" s="78">
        <f>+Q23/G23</f>
        <v>-0.004913272882810024</v>
      </c>
      <c r="S23" s="32">
        <f>S21+S22</f>
        <v>45956619.77291633</v>
      </c>
      <c r="T23" s="13">
        <f>S23-G23</f>
        <v>3160942.033259243</v>
      </c>
      <c r="U23" s="36">
        <f>T23/G23</f>
        <v>0.07386124487824434</v>
      </c>
      <c r="V23" s="32" t="e">
        <f>+database!#REF!</f>
        <v>#REF!</v>
      </c>
      <c r="W23" s="36" t="e">
        <f>+V23/D23</f>
        <v>#REF!</v>
      </c>
      <c r="X23" s="32" t="e">
        <f>+S23+V23</f>
        <v>#REF!</v>
      </c>
      <c r="Y23" s="13" t="e">
        <f>+X23-D23</f>
        <v>#REF!</v>
      </c>
      <c r="Z23" s="36" t="e">
        <f>+Y23/G23</f>
        <v>#REF!</v>
      </c>
      <c r="AB23" s="80"/>
    </row>
    <row r="24" spans="1:26" ht="12.75">
      <c r="A24">
        <f t="shared" si="0"/>
        <v>23</v>
      </c>
      <c r="B24" s="28"/>
      <c r="C24" s="14"/>
      <c r="D24" s="73"/>
      <c r="E24" s="73"/>
      <c r="F24" s="73"/>
      <c r="G24" s="15"/>
      <c r="H24" s="33"/>
      <c r="I24" s="15"/>
      <c r="J24" s="50"/>
      <c r="K24" s="33"/>
      <c r="L24" s="15"/>
      <c r="M24" s="15"/>
      <c r="N24" s="77"/>
      <c r="O24" s="33"/>
      <c r="P24" s="15"/>
      <c r="Q24" s="15"/>
      <c r="R24" s="77"/>
      <c r="S24" s="33"/>
      <c r="T24" s="15"/>
      <c r="U24" s="50"/>
      <c r="V24" s="33"/>
      <c r="W24" s="50"/>
      <c r="X24" s="33"/>
      <c r="Y24" s="15"/>
      <c r="Z24" s="50"/>
    </row>
    <row r="25" spans="1:28" ht="12.75">
      <c r="A25">
        <f t="shared" si="0"/>
        <v>24</v>
      </c>
      <c r="B25" s="40" t="s">
        <v>24</v>
      </c>
      <c r="C25" s="12">
        <f aca="true" t="shared" si="11" ref="C25:H25">C6+C11+C19+C23</f>
        <v>9311.476658</v>
      </c>
      <c r="D25" s="72">
        <f t="shared" si="11"/>
        <v>1124815520.6974525</v>
      </c>
      <c r="E25" s="72">
        <f t="shared" si="11"/>
        <v>33462635.443855725</v>
      </c>
      <c r="F25" s="72">
        <f t="shared" si="11"/>
        <v>32217366.70709234</v>
      </c>
      <c r="G25" s="13">
        <f t="shared" si="11"/>
        <v>1190495522.8484006</v>
      </c>
      <c r="H25" s="32">
        <f t="shared" si="11"/>
        <v>1254152618.9937184</v>
      </c>
      <c r="I25" s="13">
        <f>+H25-D25</f>
        <v>129337098.29626584</v>
      </c>
      <c r="J25" s="36">
        <f>+I25/G25</f>
        <v>0.10864139832026551</v>
      </c>
      <c r="K25" s="32">
        <f>K6+K11+K19+K23</f>
        <v>33462635.443855725</v>
      </c>
      <c r="L25" s="13">
        <f>L6+L11+L19+L23</f>
        <v>0</v>
      </c>
      <c r="M25" s="111">
        <f>L25-K25</f>
        <v>-33462635.443855725</v>
      </c>
      <c r="N25" s="78">
        <f>+M25/G25</f>
        <v>-0.028108157319056887</v>
      </c>
      <c r="O25" s="32">
        <f>F25</f>
        <v>32217366.70709234</v>
      </c>
      <c r="P25" s="13">
        <f>P6+P11+P19+P23</f>
        <v>27556030.672780212</v>
      </c>
      <c r="Q25" s="111">
        <f>P25-O25</f>
        <v>-4661336.034312129</v>
      </c>
      <c r="R25" s="78">
        <f>+Q25/G25</f>
        <v>-0.003915458684934265</v>
      </c>
      <c r="S25" s="32">
        <f>S6+S11+S19+S23</f>
        <v>1281708649.6664987</v>
      </c>
      <c r="T25" s="13">
        <f>S25-G25</f>
        <v>91213126.81809807</v>
      </c>
      <c r="U25" s="36">
        <f>T25/G25</f>
        <v>0.07661778231627443</v>
      </c>
      <c r="V25" s="32" t="e">
        <f>+database!#REF!</f>
        <v>#REF!</v>
      </c>
      <c r="W25" s="36" t="e">
        <f>+V25/D25</f>
        <v>#REF!</v>
      </c>
      <c r="X25" s="32" t="e">
        <f>+S25+V25</f>
        <v>#REF!</v>
      </c>
      <c r="Y25" s="13" t="e">
        <f>+X25-D25</f>
        <v>#REF!</v>
      </c>
      <c r="Z25" s="36" t="e">
        <f>+Y25/G25</f>
        <v>#REF!</v>
      </c>
      <c r="AB25" s="80"/>
    </row>
    <row r="26" spans="1:26" ht="12.75">
      <c r="A26">
        <f t="shared" si="0"/>
        <v>25</v>
      </c>
      <c r="B26" s="28"/>
      <c r="C26" s="14"/>
      <c r="D26" s="73"/>
      <c r="E26" s="73"/>
      <c r="F26" s="73"/>
      <c r="G26" s="15"/>
      <c r="H26" s="33"/>
      <c r="I26" s="15"/>
      <c r="J26" s="50"/>
      <c r="K26" s="33"/>
      <c r="L26" s="15"/>
      <c r="M26" s="15"/>
      <c r="N26" s="77"/>
      <c r="O26" s="33"/>
      <c r="P26" s="15"/>
      <c r="Q26" s="15"/>
      <c r="R26" s="77"/>
      <c r="S26" s="33"/>
      <c r="T26" s="15"/>
      <c r="U26" s="50"/>
      <c r="V26" s="33"/>
      <c r="W26" s="50"/>
      <c r="X26" s="33"/>
      <c r="Y26" s="15"/>
      <c r="Z26" s="50"/>
    </row>
    <row r="27" spans="1:26" ht="12.75">
      <c r="A27">
        <f t="shared" si="0"/>
        <v>26</v>
      </c>
      <c r="B27" s="27" t="s">
        <v>51</v>
      </c>
      <c r="C27" s="14"/>
      <c r="D27" s="73"/>
      <c r="E27" s="73"/>
      <c r="F27" s="73"/>
      <c r="G27" s="15"/>
      <c r="H27" s="33"/>
      <c r="I27" s="15"/>
      <c r="J27" s="50"/>
      <c r="K27" s="33"/>
      <c r="L27" s="15"/>
      <c r="M27" s="15"/>
      <c r="N27" s="78"/>
      <c r="O27" s="33"/>
      <c r="P27" s="15"/>
      <c r="Q27" s="15"/>
      <c r="R27" s="78"/>
      <c r="S27" s="33"/>
      <c r="T27" s="15"/>
      <c r="U27" s="50"/>
      <c r="V27" s="33"/>
      <c r="W27" s="50"/>
      <c r="X27" s="33"/>
      <c r="Y27" s="15"/>
      <c r="Z27" s="50"/>
    </row>
    <row r="28" spans="1:28" ht="12.75">
      <c r="A28">
        <f t="shared" si="0"/>
        <v>27</v>
      </c>
      <c r="B28" s="28" t="s">
        <v>6</v>
      </c>
      <c r="C28" s="14">
        <v>18.814683</v>
      </c>
      <c r="D28" s="73">
        <f>database!D29</f>
        <v>1094660</v>
      </c>
      <c r="E28" s="73">
        <f>database!B29</f>
        <v>0</v>
      </c>
      <c r="F28" s="73">
        <f>database!C29</f>
        <v>0</v>
      </c>
      <c r="G28" s="15">
        <f>D28+E28+F28</f>
        <v>1094660</v>
      </c>
      <c r="H28" s="33">
        <f>database!E29</f>
        <v>1094660</v>
      </c>
      <c r="I28" s="15">
        <f>+H28-D28</f>
        <v>0</v>
      </c>
      <c r="J28" s="50">
        <f>+I28/G28</f>
        <v>0</v>
      </c>
      <c r="K28" s="33">
        <f>E28</f>
        <v>0</v>
      </c>
      <c r="L28" s="15">
        <v>0</v>
      </c>
      <c r="M28" s="15">
        <f>L28-K28</f>
        <v>0</v>
      </c>
      <c r="N28" s="48">
        <f>+M28/G28</f>
        <v>0</v>
      </c>
      <c r="O28" s="33">
        <f>F28</f>
        <v>0</v>
      </c>
      <c r="P28" s="15">
        <f>database!F29</f>
        <v>0</v>
      </c>
      <c r="Q28" s="15">
        <f>P28-O28</f>
        <v>0</v>
      </c>
      <c r="R28" s="48">
        <f>+Q28/G28</f>
        <v>0</v>
      </c>
      <c r="S28" s="33">
        <f>+H28+L28+P28</f>
        <v>1094660</v>
      </c>
      <c r="T28" s="15">
        <f>S28-G28</f>
        <v>0</v>
      </c>
      <c r="U28" s="50">
        <f>T28/G28</f>
        <v>0</v>
      </c>
      <c r="V28" s="33" t="e">
        <f>+database!#REF!</f>
        <v>#REF!</v>
      </c>
      <c r="W28" s="50" t="e">
        <f>+V28/D28</f>
        <v>#REF!</v>
      </c>
      <c r="X28" s="33" t="e">
        <f>+S28+V28</f>
        <v>#REF!</v>
      </c>
      <c r="Y28" s="15" t="e">
        <f>+X28-D28</f>
        <v>#REF!</v>
      </c>
      <c r="Z28" s="50" t="e">
        <f>+Y28/G28</f>
        <v>#REF!</v>
      </c>
      <c r="AB28" s="80"/>
    </row>
    <row r="29" spans="1:28" ht="12.75">
      <c r="A29">
        <f t="shared" si="0"/>
        <v>28</v>
      </c>
      <c r="B29" s="29" t="s">
        <v>12</v>
      </c>
      <c r="C29" s="14">
        <v>178.92</v>
      </c>
      <c r="D29" s="73">
        <f>database!D31</f>
        <v>10282532</v>
      </c>
      <c r="E29" s="73">
        <f>+database!B31</f>
        <v>0</v>
      </c>
      <c r="F29" s="73">
        <f>+database!C31</f>
        <v>419450.54009040515</v>
      </c>
      <c r="G29" s="15">
        <f>D29+E29+F29</f>
        <v>10701982.540090404</v>
      </c>
      <c r="H29" s="33">
        <f>database!E31</f>
        <v>10282532</v>
      </c>
      <c r="I29" s="15">
        <f>+H29-D29</f>
        <v>0</v>
      </c>
      <c r="J29" s="53">
        <f>+I29/G29</f>
        <v>0</v>
      </c>
      <c r="K29" s="33">
        <f>E29</f>
        <v>0</v>
      </c>
      <c r="L29" s="15">
        <v>0</v>
      </c>
      <c r="M29" s="15">
        <f>L29-K29</f>
        <v>0</v>
      </c>
      <c r="N29" s="48">
        <f>+M29/G29</f>
        <v>0</v>
      </c>
      <c r="O29" s="33">
        <f>F29</f>
        <v>419450.54009040515</v>
      </c>
      <c r="P29" s="15">
        <f>database!F31</f>
        <v>290428.52609767375</v>
      </c>
      <c r="Q29" s="112">
        <f>P29-O29</f>
        <v>-129022.0139927314</v>
      </c>
      <c r="R29" s="48">
        <f>+Q29/G29</f>
        <v>-0.012055898382323607</v>
      </c>
      <c r="S29" s="33">
        <f>+H29+L29+P29</f>
        <v>10572960.526097674</v>
      </c>
      <c r="T29" s="112">
        <f>S29-G29</f>
        <v>-129022.01399273053</v>
      </c>
      <c r="U29" s="50">
        <f>T29/G29</f>
        <v>-0.012055898382323526</v>
      </c>
      <c r="V29" s="33" t="e">
        <f>+database!#REF!</f>
        <v>#REF!</v>
      </c>
      <c r="W29" s="50" t="e">
        <f>+V29/D29</f>
        <v>#REF!</v>
      </c>
      <c r="X29" s="33" t="e">
        <f>+S29+V29</f>
        <v>#REF!</v>
      </c>
      <c r="Y29" s="15" t="e">
        <f>+X29-D29</f>
        <v>#REF!</v>
      </c>
      <c r="Z29" s="53" t="e">
        <f>+Y29/G29</f>
        <v>#REF!</v>
      </c>
      <c r="AB29" s="80"/>
    </row>
    <row r="30" spans="2:28" ht="12.75">
      <c r="B30" s="29" t="s">
        <v>81</v>
      </c>
      <c r="C30" s="14">
        <v>322.080003</v>
      </c>
      <c r="D30" s="73">
        <f>database!D33</f>
        <v>21183202</v>
      </c>
      <c r="E30" s="73">
        <f>database!B19*0.7297</f>
        <v>879406.3053934622</v>
      </c>
      <c r="F30" s="73">
        <f>database!C19*0.7297</f>
        <v>1219578.0293619048</v>
      </c>
      <c r="G30" s="15">
        <f>D30+E30+F30</f>
        <v>23282186.334755365</v>
      </c>
      <c r="H30" s="33">
        <f>database!E33</f>
        <v>21183202</v>
      </c>
      <c r="I30" s="15">
        <f>+H30-D30</f>
        <v>0</v>
      </c>
      <c r="J30" s="53">
        <f>+I30/G30</f>
        <v>0</v>
      </c>
      <c r="K30" s="33">
        <f>E30</f>
        <v>879406.3053934622</v>
      </c>
      <c r="L30" s="15">
        <v>0</v>
      </c>
      <c r="M30" s="112">
        <f>L30-K30</f>
        <v>-879406.3053934622</v>
      </c>
      <c r="N30" s="48">
        <f>+M30/G30</f>
        <v>-0.03777163762669038</v>
      </c>
      <c r="O30" s="33">
        <f>F30</f>
        <v>1219578.0293619048</v>
      </c>
      <c r="P30" s="15">
        <f>database!F33</f>
        <v>1330573.3497849514</v>
      </c>
      <c r="Q30" s="15">
        <f>P30-O30</f>
        <v>110995.32042304659</v>
      </c>
      <c r="R30" s="48">
        <f>+Q30/G30</f>
        <v>0.004767392496011173</v>
      </c>
      <c r="S30" s="33">
        <f>+H30+L30+P30</f>
        <v>22513775.34978495</v>
      </c>
      <c r="T30" s="112">
        <f>S30-G30</f>
        <v>-768410.9849704131</v>
      </c>
      <c r="U30" s="50">
        <f>T30/G30</f>
        <v>-0.033004245130679094</v>
      </c>
      <c r="V30" s="33"/>
      <c r="W30" s="50"/>
      <c r="X30" s="33"/>
      <c r="Y30" s="15"/>
      <c r="Z30" s="53"/>
      <c r="AB30" s="80"/>
    </row>
    <row r="31" spans="1:28" ht="12.75">
      <c r="A31">
        <f>A29+1</f>
        <v>29</v>
      </c>
      <c r="B31" s="30" t="s">
        <v>13</v>
      </c>
      <c r="C31" s="16">
        <v>189</v>
      </c>
      <c r="D31" s="74">
        <f>database!D32</f>
        <v>9934827</v>
      </c>
      <c r="E31" s="110">
        <f>database!B32</f>
        <v>0</v>
      </c>
      <c r="F31" s="110">
        <f>database!C32</f>
        <v>0</v>
      </c>
      <c r="G31" s="17">
        <f>D31+E31+F31</f>
        <v>9934827</v>
      </c>
      <c r="H31" s="34">
        <f>database!E32</f>
        <v>9934827</v>
      </c>
      <c r="I31" s="17">
        <f>+H31-D31</f>
        <v>0</v>
      </c>
      <c r="J31" s="41">
        <f>+I31/G31</f>
        <v>0</v>
      </c>
      <c r="K31" s="34">
        <f>E31</f>
        <v>0</v>
      </c>
      <c r="L31" s="17">
        <v>0</v>
      </c>
      <c r="M31" s="17">
        <f>L31-K31</f>
        <v>0</v>
      </c>
      <c r="N31" s="81">
        <f>+M31/G31</f>
        <v>0</v>
      </c>
      <c r="O31" s="34">
        <f>F31</f>
        <v>0</v>
      </c>
      <c r="P31" s="17">
        <f>database!F32</f>
        <v>0</v>
      </c>
      <c r="Q31" s="17">
        <f>P31-O31</f>
        <v>0</v>
      </c>
      <c r="R31" s="81">
        <f>+Q31/G31</f>
        <v>0</v>
      </c>
      <c r="S31" s="34">
        <f>+H31+L31+P31</f>
        <v>9934827</v>
      </c>
      <c r="T31" s="17">
        <f>S31-G31</f>
        <v>0</v>
      </c>
      <c r="U31" s="41">
        <f>T31/G31</f>
        <v>0</v>
      </c>
      <c r="V31" s="34" t="e">
        <f>+database!#REF!</f>
        <v>#REF!</v>
      </c>
      <c r="W31" s="41" t="e">
        <f>+V31/D31</f>
        <v>#REF!</v>
      </c>
      <c r="X31" s="34" t="e">
        <f>+S31+V31</f>
        <v>#REF!</v>
      </c>
      <c r="Y31" s="17" t="e">
        <f>+X31-D31</f>
        <v>#REF!</v>
      </c>
      <c r="Z31" s="41" t="e">
        <f>+Y31/G31</f>
        <v>#REF!</v>
      </c>
      <c r="AB31" s="80"/>
    </row>
    <row r="32" spans="1:28" ht="12.75">
      <c r="A32">
        <f t="shared" si="0"/>
        <v>30</v>
      </c>
      <c r="B32" s="40" t="s">
        <v>52</v>
      </c>
      <c r="C32" s="12">
        <f>SUM(C28:C31)</f>
        <v>708.8146859999999</v>
      </c>
      <c r="D32" s="72">
        <f>SUM(D28:D31)</f>
        <v>42495221</v>
      </c>
      <c r="E32" s="72">
        <f>SUM(E28:E31)</f>
        <v>879406.3053934622</v>
      </c>
      <c r="F32" s="72">
        <f>SUM(F28:F31)</f>
        <v>1639028.56945231</v>
      </c>
      <c r="G32" s="13">
        <f>G28+G29+G30+G31</f>
        <v>45013655.87484577</v>
      </c>
      <c r="H32" s="32">
        <f>SUM(H28:H31)</f>
        <v>42495221</v>
      </c>
      <c r="I32" s="13">
        <f>+H32-D32</f>
        <v>0</v>
      </c>
      <c r="J32" s="36">
        <f>+I32/G32</f>
        <v>0</v>
      </c>
      <c r="K32" s="32">
        <f>SUM(K28:K31)</f>
        <v>879406.3053934622</v>
      </c>
      <c r="L32" s="13">
        <f>SUM(L28:L31)</f>
        <v>0</v>
      </c>
      <c r="M32" s="111">
        <f>L32-K32</f>
        <v>-879406.3053934622</v>
      </c>
      <c r="N32" s="78">
        <f>+M32/G32</f>
        <v>-0.019536433739986137</v>
      </c>
      <c r="O32" s="32">
        <f>F32</f>
        <v>1639028.56945231</v>
      </c>
      <c r="P32" s="13">
        <f>SUM(P28:P31)</f>
        <v>1621001.875882625</v>
      </c>
      <c r="Q32" s="111">
        <f>P32-O32</f>
        <v>-18026.693569684867</v>
      </c>
      <c r="R32" s="78">
        <f>+Q32/G32</f>
        <v>-0.0004004716617509493</v>
      </c>
      <c r="S32" s="32">
        <f>SUM(S28:S31)</f>
        <v>44116222.875882626</v>
      </c>
      <c r="T32" s="111">
        <f>S32-G32</f>
        <v>-897432.9989631474</v>
      </c>
      <c r="U32" s="36">
        <f>T32/G32</f>
        <v>-0.019936905401737096</v>
      </c>
      <c r="V32" s="32" t="e">
        <f>+database!#REF!</f>
        <v>#REF!</v>
      </c>
      <c r="W32" s="36" t="e">
        <f>+V32/D32</f>
        <v>#REF!</v>
      </c>
      <c r="X32" s="32" t="e">
        <f>+S32+V32</f>
        <v>#REF!</v>
      </c>
      <c r="Y32" s="13" t="e">
        <f>+X32-D32</f>
        <v>#REF!</v>
      </c>
      <c r="Z32" s="36" t="e">
        <f>+Y32/G32</f>
        <v>#REF!</v>
      </c>
      <c r="AB32" s="80"/>
    </row>
    <row r="33" spans="1:26" ht="12.75">
      <c r="A33">
        <f t="shared" si="0"/>
        <v>31</v>
      </c>
      <c r="B33" s="40"/>
      <c r="C33" s="12"/>
      <c r="D33" s="72"/>
      <c r="E33" s="72"/>
      <c r="F33" s="72"/>
      <c r="G33" s="13"/>
      <c r="H33" s="32"/>
      <c r="I33" s="13"/>
      <c r="J33" s="36"/>
      <c r="K33" s="32"/>
      <c r="L33" s="13"/>
      <c r="M33" s="13"/>
      <c r="N33" s="78"/>
      <c r="O33" s="32"/>
      <c r="P33" s="13"/>
      <c r="Q33" s="13"/>
      <c r="R33" s="78"/>
      <c r="S33" s="32"/>
      <c r="T33" s="13"/>
      <c r="U33" s="36"/>
      <c r="V33" s="32"/>
      <c r="W33" s="36"/>
      <c r="X33" s="32"/>
      <c r="Y33" s="13"/>
      <c r="Z33" s="36"/>
    </row>
    <row r="34" spans="1:26" ht="12.75">
      <c r="A34">
        <f t="shared" si="0"/>
        <v>32</v>
      </c>
      <c r="B34" s="69" t="s">
        <v>50</v>
      </c>
      <c r="C34" s="12"/>
      <c r="D34" s="73">
        <f>database!D38</f>
        <v>1565170</v>
      </c>
      <c r="E34" s="73">
        <v>0</v>
      </c>
      <c r="F34" s="73">
        <v>0</v>
      </c>
      <c r="G34" s="15">
        <f>D34+E34+F34</f>
        <v>1565170</v>
      </c>
      <c r="H34" s="33">
        <f>database!E36</f>
        <v>1962838.6943564923</v>
      </c>
      <c r="I34" s="15">
        <f>+H34-D34</f>
        <v>397668.69435649225</v>
      </c>
      <c r="J34" s="53">
        <f>+I34/G34</f>
        <v>0.2540738030734631</v>
      </c>
      <c r="K34" s="33">
        <f>E34</f>
        <v>0</v>
      </c>
      <c r="L34" s="15">
        <v>0</v>
      </c>
      <c r="M34" s="15">
        <f>L34-K34</f>
        <v>0</v>
      </c>
      <c r="N34" s="48">
        <f>+M34/G34</f>
        <v>0</v>
      </c>
      <c r="O34" s="33">
        <f>F34</f>
        <v>0</v>
      </c>
      <c r="P34" s="15">
        <v>0</v>
      </c>
      <c r="Q34" s="15">
        <f>P34-O34</f>
        <v>0</v>
      </c>
      <c r="R34" s="48">
        <f>+Q34/G34</f>
        <v>0</v>
      </c>
      <c r="S34" s="33">
        <f>+H34+L34+P34</f>
        <v>1962838.6943564923</v>
      </c>
      <c r="T34" s="15">
        <f>S34-G34</f>
        <v>397668.69435649225</v>
      </c>
      <c r="U34" s="49">
        <f>T34/G34</f>
        <v>0.2540738030734631</v>
      </c>
      <c r="V34" s="32"/>
      <c r="W34" s="36"/>
      <c r="X34" s="32"/>
      <c r="Y34" s="13"/>
      <c r="Z34" s="36"/>
    </row>
    <row r="35" spans="1:26" ht="12.75">
      <c r="A35">
        <f t="shared" si="0"/>
        <v>33</v>
      </c>
      <c r="B35" s="28"/>
      <c r="C35" s="14"/>
      <c r="D35" s="73"/>
      <c r="E35" s="73"/>
      <c r="F35" s="73"/>
      <c r="G35" s="15"/>
      <c r="H35" s="33"/>
      <c r="I35" s="15"/>
      <c r="J35" s="50"/>
      <c r="K35" s="33"/>
      <c r="L35" s="15"/>
      <c r="M35" s="15"/>
      <c r="N35" s="77"/>
      <c r="O35" s="33"/>
      <c r="P35" s="15"/>
      <c r="Q35" s="15"/>
      <c r="R35" s="77"/>
      <c r="S35" s="33"/>
      <c r="T35" s="15"/>
      <c r="U35" s="50"/>
      <c r="V35" s="33"/>
      <c r="W35" s="50"/>
      <c r="X35" s="33"/>
      <c r="Y35" s="15"/>
      <c r="Z35" s="50"/>
    </row>
    <row r="36" spans="1:26" ht="12.75">
      <c r="A36">
        <f t="shared" si="0"/>
        <v>34</v>
      </c>
      <c r="B36" s="26"/>
      <c r="C36" s="12"/>
      <c r="D36" s="75"/>
      <c r="E36" s="75"/>
      <c r="F36" s="75"/>
      <c r="G36" s="18"/>
      <c r="H36" s="35"/>
      <c r="I36" s="18"/>
      <c r="J36" s="50"/>
      <c r="K36" s="35"/>
      <c r="L36" s="18"/>
      <c r="M36" s="18"/>
      <c r="N36" s="78"/>
      <c r="O36" s="35"/>
      <c r="P36" s="18"/>
      <c r="Q36" s="18"/>
      <c r="R36" s="78"/>
      <c r="S36" s="35"/>
      <c r="T36" s="18"/>
      <c r="U36" s="36"/>
      <c r="V36" s="35"/>
      <c r="W36" s="36"/>
      <c r="X36" s="35"/>
      <c r="Y36" s="18"/>
      <c r="Z36" s="36"/>
    </row>
    <row r="37" spans="1:26" ht="12.75">
      <c r="A37">
        <f t="shared" si="0"/>
        <v>35</v>
      </c>
      <c r="B37" s="27" t="s">
        <v>15</v>
      </c>
      <c r="C37" s="12">
        <f>C25+C32</f>
        <v>10020.291344</v>
      </c>
      <c r="D37" s="72">
        <f>D25+D32+D34</f>
        <v>1168875911.6974525</v>
      </c>
      <c r="E37" s="72">
        <f>E25+E32+E34</f>
        <v>34342041.74924919</v>
      </c>
      <c r="F37" s="72">
        <f>F25+F32+F34</f>
        <v>33856395.27654465</v>
      </c>
      <c r="G37" s="13">
        <f>G25+G32+G34</f>
        <v>1237074348.7232463</v>
      </c>
      <c r="H37" s="32">
        <f>H25+H32+H34</f>
        <v>1298610678.6880748</v>
      </c>
      <c r="I37" s="13">
        <f>+H37-D37</f>
        <v>129734766.99062228</v>
      </c>
      <c r="J37" s="36">
        <f>+I37/G37</f>
        <v>0.10487224726995456</v>
      </c>
      <c r="K37" s="32">
        <f>K25+K32+K34</f>
        <v>34342041.74924919</v>
      </c>
      <c r="L37" s="13">
        <f>L25+L32+L34</f>
        <v>0</v>
      </c>
      <c r="M37" s="111">
        <f>L37-K37</f>
        <v>-34342041.74924919</v>
      </c>
      <c r="N37" s="78">
        <f>+M37/G37</f>
        <v>-0.027760693433416316</v>
      </c>
      <c r="O37" s="32">
        <f>F37</f>
        <v>33856395.27654465</v>
      </c>
      <c r="P37" s="13">
        <f>P25+P32</f>
        <v>29177032.548662838</v>
      </c>
      <c r="Q37" s="111">
        <f>P37-O37</f>
        <v>-4679362.727881815</v>
      </c>
      <c r="R37" s="78">
        <f>+Q37/G37</f>
        <v>-0.0037826042813928437</v>
      </c>
      <c r="S37" s="32">
        <f>S25+S32+S34</f>
        <v>1327787711.2367377</v>
      </c>
      <c r="T37" s="13">
        <f>S37-G37</f>
        <v>90713362.51349139</v>
      </c>
      <c r="U37" s="36">
        <f>T37/G37</f>
        <v>0.07332894955514549</v>
      </c>
      <c r="V37" s="32" t="e">
        <f>+database!#REF!</f>
        <v>#REF!</v>
      </c>
      <c r="W37" s="36" t="e">
        <f>+V37/D37</f>
        <v>#REF!</v>
      </c>
      <c r="X37" s="32" t="e">
        <f>+S37+V37</f>
        <v>#REF!</v>
      </c>
      <c r="Y37" s="13" t="e">
        <f>+X37-D37</f>
        <v>#REF!</v>
      </c>
      <c r="Z37" s="36" t="e">
        <f>+Y37/G37</f>
        <v>#REF!</v>
      </c>
    </row>
    <row r="38" spans="1:26" ht="12.75">
      <c r="A38">
        <f t="shared" si="0"/>
        <v>36</v>
      </c>
      <c r="B38" s="28"/>
      <c r="C38" s="14"/>
      <c r="D38" s="73"/>
      <c r="E38" s="73"/>
      <c r="F38" s="73"/>
      <c r="G38" s="15"/>
      <c r="H38" s="33"/>
      <c r="I38" s="15"/>
      <c r="J38" s="50"/>
      <c r="K38" s="33"/>
      <c r="L38" s="15"/>
      <c r="M38" s="15"/>
      <c r="N38" s="77"/>
      <c r="O38" s="33"/>
      <c r="P38" s="15"/>
      <c r="Q38" s="15"/>
      <c r="R38" s="77"/>
      <c r="S38" s="33"/>
      <c r="T38" s="15"/>
      <c r="U38" s="50"/>
      <c r="V38" s="33"/>
      <c r="W38" s="50"/>
      <c r="X38" s="33"/>
      <c r="Y38" s="15"/>
      <c r="Z38" s="50"/>
    </row>
    <row r="39" spans="1:26" ht="12.75">
      <c r="A39">
        <f t="shared" si="0"/>
        <v>37</v>
      </c>
      <c r="B39" s="19" t="s">
        <v>16</v>
      </c>
      <c r="C39" s="14">
        <v>28.943</v>
      </c>
      <c r="D39" s="73">
        <f>database!D42</f>
        <v>1806823</v>
      </c>
      <c r="E39" s="73">
        <f>+database!B42</f>
        <v>0</v>
      </c>
      <c r="F39" s="73">
        <f>+database!C42</f>
        <v>0</v>
      </c>
      <c r="G39" s="15">
        <f>D39+E39+F39</f>
        <v>1806823</v>
      </c>
      <c r="H39" s="33">
        <f>database!E42</f>
        <v>1806823</v>
      </c>
      <c r="I39" s="15">
        <f>+H39-D39</f>
        <v>0</v>
      </c>
      <c r="J39" s="50">
        <v>0</v>
      </c>
      <c r="K39" s="33">
        <f>E39</f>
        <v>0</v>
      </c>
      <c r="L39" s="15">
        <v>0</v>
      </c>
      <c r="M39" s="15">
        <f>L39-K39</f>
        <v>0</v>
      </c>
      <c r="N39" s="48">
        <f>+M39/G39</f>
        <v>0</v>
      </c>
      <c r="O39" s="33">
        <f>F39</f>
        <v>0</v>
      </c>
      <c r="P39" s="15">
        <f>database!F42</f>
        <v>0</v>
      </c>
      <c r="Q39" s="15">
        <f>P39-O39</f>
        <v>0</v>
      </c>
      <c r="R39" s="48">
        <f>+Q39/G39</f>
        <v>0</v>
      </c>
      <c r="S39" s="33">
        <f>+H39+L39+P39</f>
        <v>1806823</v>
      </c>
      <c r="T39" s="15">
        <f>S39-G39</f>
        <v>0</v>
      </c>
      <c r="U39" s="50">
        <f>T39/G39</f>
        <v>0</v>
      </c>
      <c r="V39" s="33" t="e">
        <f>+database!#REF!</f>
        <v>#REF!</v>
      </c>
      <c r="W39" s="50"/>
      <c r="X39" s="33" t="e">
        <f>+S39+V39</f>
        <v>#REF!</v>
      </c>
      <c r="Y39" s="15" t="e">
        <f>+X39-D39</f>
        <v>#REF!</v>
      </c>
      <c r="Z39" s="50">
        <v>0</v>
      </c>
    </row>
    <row r="40" spans="1:26" ht="12.75">
      <c r="A40">
        <f t="shared" si="0"/>
        <v>38</v>
      </c>
      <c r="B40" s="19"/>
      <c r="C40" s="14"/>
      <c r="D40" s="73"/>
      <c r="E40" s="73"/>
      <c r="F40" s="73"/>
      <c r="G40" s="15"/>
      <c r="H40" s="33"/>
      <c r="I40" s="15"/>
      <c r="J40" s="50"/>
      <c r="K40" s="33"/>
      <c r="L40" s="15"/>
      <c r="M40" s="15"/>
      <c r="N40" s="77"/>
      <c r="O40" s="33"/>
      <c r="P40" s="15"/>
      <c r="Q40" s="15"/>
      <c r="R40" s="77"/>
      <c r="S40" s="33"/>
      <c r="T40" s="15"/>
      <c r="U40" s="50"/>
      <c r="V40" s="33"/>
      <c r="W40" s="50"/>
      <c r="X40" s="33"/>
      <c r="Y40" s="15"/>
      <c r="Z40" s="50"/>
    </row>
    <row r="41" spans="1:26" ht="12.75">
      <c r="A41">
        <f t="shared" si="0"/>
        <v>39</v>
      </c>
      <c r="B41" s="26" t="s">
        <v>17</v>
      </c>
      <c r="C41" s="12">
        <f aca="true" t="shared" si="12" ref="C41:H41">C37+C39</f>
        <v>10049.234343999999</v>
      </c>
      <c r="D41" s="72">
        <f t="shared" si="12"/>
        <v>1170682734.6974525</v>
      </c>
      <c r="E41" s="72">
        <f t="shared" si="12"/>
        <v>34342041.74924919</v>
      </c>
      <c r="F41" s="72">
        <f t="shared" si="12"/>
        <v>33856395.27654465</v>
      </c>
      <c r="G41" s="13">
        <f t="shared" si="12"/>
        <v>1238881171.7232463</v>
      </c>
      <c r="H41" s="32">
        <f t="shared" si="12"/>
        <v>1300417501.6880748</v>
      </c>
      <c r="I41" s="13">
        <f>+H41-D41</f>
        <v>129734766.99062228</v>
      </c>
      <c r="J41" s="36">
        <f>+I41/G41</f>
        <v>0.1047192983086224</v>
      </c>
      <c r="K41" s="32">
        <f>K37+K39</f>
        <v>34342041.74924919</v>
      </c>
      <c r="L41" s="13">
        <f>L37+L39</f>
        <v>0</v>
      </c>
      <c r="M41" s="111">
        <f>L41-K41</f>
        <v>-34342041.74924919</v>
      </c>
      <c r="N41" s="78">
        <f>+M41/G41</f>
        <v>-0.02772020637094714</v>
      </c>
      <c r="O41" s="32">
        <f>F41</f>
        <v>33856395.27654465</v>
      </c>
      <c r="P41" s="13">
        <f>P37+P39</f>
        <v>29177032.548662838</v>
      </c>
      <c r="Q41" s="111">
        <f>P41-O41</f>
        <v>-4679362.727881815</v>
      </c>
      <c r="R41" s="78">
        <f>+Q41/G41</f>
        <v>-0.0037770876131509555</v>
      </c>
      <c r="S41" s="32">
        <f>S37+S39</f>
        <v>1329594534.2367377</v>
      </c>
      <c r="T41" s="13">
        <f>S41-G41</f>
        <v>90713362.51349139</v>
      </c>
      <c r="U41" s="36">
        <f>T41/G41</f>
        <v>0.0732220043245244</v>
      </c>
      <c r="V41" s="32" t="e">
        <f>+database!#REF!</f>
        <v>#REF!</v>
      </c>
      <c r="W41" s="36" t="e">
        <f>+V41/D41</f>
        <v>#REF!</v>
      </c>
      <c r="X41" s="32" t="e">
        <f>+S41+V41</f>
        <v>#REF!</v>
      </c>
      <c r="Y41" s="13" t="e">
        <f>+X41-D41</f>
        <v>#REF!</v>
      </c>
      <c r="Z41" s="36" t="e">
        <f>+Y41/G41</f>
        <v>#REF!</v>
      </c>
    </row>
    <row r="42" spans="1:26" ht="12.75">
      <c r="A42">
        <f t="shared" si="0"/>
        <v>40</v>
      </c>
      <c r="B42" s="19"/>
      <c r="C42" s="14"/>
      <c r="D42" s="73"/>
      <c r="E42" s="73"/>
      <c r="F42" s="73"/>
      <c r="G42" s="15"/>
      <c r="H42" s="33"/>
      <c r="I42" s="15"/>
      <c r="J42" s="50"/>
      <c r="K42" s="33"/>
      <c r="L42" s="15"/>
      <c r="M42" s="15"/>
      <c r="N42" s="77"/>
      <c r="O42" s="33"/>
      <c r="P42" s="15"/>
      <c r="Q42" s="15"/>
      <c r="R42" s="77"/>
      <c r="S42" s="33"/>
      <c r="T42" s="15"/>
      <c r="U42" s="50"/>
      <c r="V42" s="33"/>
      <c r="W42" s="50"/>
      <c r="X42" s="33"/>
      <c r="Y42" s="15"/>
      <c r="Z42" s="50"/>
    </row>
    <row r="43" spans="1:26" ht="12.75">
      <c r="A43">
        <f t="shared" si="0"/>
        <v>41</v>
      </c>
      <c r="B43" s="28" t="s">
        <v>39</v>
      </c>
      <c r="C43" s="14">
        <f>700.760344+0.897</f>
        <v>701.6573440000001</v>
      </c>
      <c r="D43" s="73">
        <f>database!D49</f>
        <v>21959248.80253</v>
      </c>
      <c r="E43" s="73">
        <v>0</v>
      </c>
      <c r="F43" s="73">
        <v>0</v>
      </c>
      <c r="G43" s="15">
        <f>D43+E43+F43</f>
        <v>21959248.80253</v>
      </c>
      <c r="H43" s="33">
        <f>database!E49</f>
        <v>22582498.31192314</v>
      </c>
      <c r="I43" s="15">
        <f>+H43-D43</f>
        <v>623249.509393137</v>
      </c>
      <c r="J43" s="49">
        <f>+I43/G43</f>
        <v>0.028382096081598664</v>
      </c>
      <c r="K43" s="33">
        <f>E43</f>
        <v>0</v>
      </c>
      <c r="L43" s="15">
        <v>0</v>
      </c>
      <c r="M43" s="15">
        <f>L43-K43</f>
        <v>0</v>
      </c>
      <c r="N43" s="48">
        <f>+M43/G43</f>
        <v>0</v>
      </c>
      <c r="O43" s="33">
        <f>F43</f>
        <v>0</v>
      </c>
      <c r="P43" s="15">
        <f>database!F47</f>
        <v>0</v>
      </c>
      <c r="Q43" s="15">
        <f>P43-O43</f>
        <v>0</v>
      </c>
      <c r="R43" s="48">
        <f>+Q43/G43</f>
        <v>0</v>
      </c>
      <c r="S43" s="33">
        <f>+H43+L43+P43</f>
        <v>22582498.31192314</v>
      </c>
      <c r="T43" s="15">
        <f>S43-G43</f>
        <v>623249.509393137</v>
      </c>
      <c r="U43" s="50">
        <f>T43/G43</f>
        <v>0.028382096081598664</v>
      </c>
      <c r="V43" s="33">
        <v>0</v>
      </c>
      <c r="W43" s="50"/>
      <c r="X43" s="33">
        <f>+D43</f>
        <v>21959248.80253</v>
      </c>
      <c r="Y43" s="15">
        <v>0</v>
      </c>
      <c r="Z43" s="36">
        <f>+Y43/G43</f>
        <v>0</v>
      </c>
    </row>
    <row r="44" spans="1:26" ht="12.75">
      <c r="A44">
        <f t="shared" si="0"/>
        <v>42</v>
      </c>
      <c r="B44" s="19"/>
      <c r="C44" s="14"/>
      <c r="D44" s="73"/>
      <c r="E44" s="73"/>
      <c r="F44" s="73"/>
      <c r="G44" s="15"/>
      <c r="H44" s="33"/>
      <c r="I44" s="15"/>
      <c r="J44" s="50"/>
      <c r="K44" s="33"/>
      <c r="L44" s="15"/>
      <c r="M44" s="15"/>
      <c r="N44" s="77"/>
      <c r="O44" s="33"/>
      <c r="P44" s="15"/>
      <c r="Q44" s="15"/>
      <c r="R44" s="77"/>
      <c r="S44" s="33"/>
      <c r="T44" s="15"/>
      <c r="U44" s="50"/>
      <c r="V44" s="33"/>
      <c r="W44" s="50"/>
      <c r="X44" s="33"/>
      <c r="Y44" s="15"/>
      <c r="Z44" s="50"/>
    </row>
    <row r="45" spans="1:28" ht="12.75">
      <c r="A45">
        <f t="shared" si="0"/>
        <v>43</v>
      </c>
      <c r="B45" s="25" t="s">
        <v>36</v>
      </c>
      <c r="C45" s="12">
        <f aca="true" t="shared" si="13" ref="C45:H45">C41+C43</f>
        <v>10750.891687999998</v>
      </c>
      <c r="D45" s="75">
        <f t="shared" si="13"/>
        <v>1192641983.4999826</v>
      </c>
      <c r="E45" s="75">
        <f t="shared" si="13"/>
        <v>34342041.74924919</v>
      </c>
      <c r="F45" s="75">
        <f t="shared" si="13"/>
        <v>33856395.27654465</v>
      </c>
      <c r="G45" s="18">
        <f t="shared" si="13"/>
        <v>1260840420.5257764</v>
      </c>
      <c r="H45" s="35">
        <f t="shared" si="13"/>
        <v>1322999999.9999979</v>
      </c>
      <c r="I45" s="18">
        <f>+H45-D45</f>
        <v>130358016.50001526</v>
      </c>
      <c r="J45" s="36">
        <f>+I45/G45</f>
        <v>0.10338978222609278</v>
      </c>
      <c r="K45" s="32">
        <f>K41+K43</f>
        <v>34342041.74924919</v>
      </c>
      <c r="L45" s="13">
        <f>L41+L43</f>
        <v>0</v>
      </c>
      <c r="M45" s="111">
        <f>L45-K45</f>
        <v>-34342041.74924919</v>
      </c>
      <c r="N45" s="78">
        <f>+M45/G45</f>
        <v>-0.027237421318495166</v>
      </c>
      <c r="O45" s="32">
        <f>F45</f>
        <v>33856395.27654465</v>
      </c>
      <c r="P45" s="18">
        <f>P41+P43</f>
        <v>29177032.548662838</v>
      </c>
      <c r="Q45" s="111">
        <f>P45-O45</f>
        <v>-4679362.727881815</v>
      </c>
      <c r="R45" s="78">
        <f>+Q45/G45</f>
        <v>-0.0037113045011124396</v>
      </c>
      <c r="S45" s="32">
        <f>S41+S43</f>
        <v>1352177032.5486608</v>
      </c>
      <c r="T45" s="18">
        <f>S45-G45</f>
        <v>91336612.02288437</v>
      </c>
      <c r="U45" s="36">
        <f>T45/G45</f>
        <v>0.07244105640648527</v>
      </c>
      <c r="V45" s="35" t="e">
        <f>+database!#REF!</f>
        <v>#REF!</v>
      </c>
      <c r="W45" s="36" t="e">
        <f>+V45/D45</f>
        <v>#REF!</v>
      </c>
      <c r="X45" s="35" t="e">
        <f>+S45+V45</f>
        <v>#REF!</v>
      </c>
      <c r="Y45" s="18" t="e">
        <f>+X45-D45</f>
        <v>#REF!</v>
      </c>
      <c r="Z45" s="36" t="e">
        <f>+Y45/G45</f>
        <v>#REF!</v>
      </c>
      <c r="AB45" s="80"/>
    </row>
    <row r="46" spans="1:26" ht="12.75">
      <c r="A46">
        <f t="shared" si="0"/>
        <v>44</v>
      </c>
      <c r="B46" s="31"/>
      <c r="C46" s="5"/>
      <c r="D46" s="6"/>
      <c r="E46" s="6"/>
      <c r="F46" s="67"/>
      <c r="G46" s="6"/>
      <c r="H46" s="5"/>
      <c r="I46" s="6"/>
      <c r="J46" s="51"/>
      <c r="K46" s="5"/>
      <c r="L46" s="6"/>
      <c r="M46" s="6"/>
      <c r="N46" s="70"/>
      <c r="O46" s="5"/>
      <c r="P46" s="6"/>
      <c r="Q46" s="6"/>
      <c r="R46" s="70"/>
      <c r="S46" s="5"/>
      <c r="T46" s="6"/>
      <c r="U46" s="51"/>
      <c r="V46" s="5"/>
      <c r="W46" s="51"/>
      <c r="X46" s="5"/>
      <c r="Y46" s="6"/>
      <c r="Z46" s="51"/>
    </row>
    <row r="47" spans="1:21" ht="12.75">
      <c r="A47">
        <f t="shared" si="0"/>
        <v>45</v>
      </c>
      <c r="F47" s="68"/>
      <c r="G47" s="76"/>
      <c r="J47" s="71"/>
      <c r="K47" s="71"/>
      <c r="L47" s="71"/>
      <c r="M47" s="71"/>
      <c r="N47" s="71"/>
      <c r="R47" s="71"/>
      <c r="U47" s="71"/>
    </row>
    <row r="48" spans="1:21" ht="12.75">
      <c r="A48">
        <f t="shared" si="0"/>
        <v>46</v>
      </c>
      <c r="B48" t="s">
        <v>89</v>
      </c>
      <c r="F48" s="68"/>
      <c r="G48" s="82"/>
      <c r="H48" s="52"/>
      <c r="J48" s="71"/>
      <c r="K48" s="71"/>
      <c r="L48" s="71"/>
      <c r="M48" s="71"/>
      <c r="N48" s="71"/>
      <c r="P48" s="52"/>
      <c r="R48" s="71"/>
      <c r="S48" s="52"/>
      <c r="T48" s="60"/>
      <c r="U48" s="71"/>
    </row>
    <row r="49" spans="6:21" ht="12.75">
      <c r="F49" s="68"/>
      <c r="G49" s="82"/>
      <c r="H49" s="52"/>
      <c r="J49" s="71"/>
      <c r="K49" s="71"/>
      <c r="L49" s="71"/>
      <c r="M49" s="71"/>
      <c r="N49" s="71"/>
      <c r="R49" s="71"/>
      <c r="T49" s="60"/>
      <c r="U49" s="71"/>
    </row>
    <row r="50" spans="3:21" ht="12.75">
      <c r="C50" s="80"/>
      <c r="D50" s="83"/>
      <c r="E50" s="83"/>
      <c r="F50" s="83"/>
      <c r="G50" s="83"/>
      <c r="H50" s="83"/>
      <c r="I50" s="83"/>
      <c r="J50" s="71"/>
      <c r="K50" s="71"/>
      <c r="L50" s="71"/>
      <c r="M50" s="71"/>
      <c r="N50" s="71"/>
      <c r="P50" s="52"/>
      <c r="R50" s="71"/>
      <c r="U50" s="71"/>
    </row>
    <row r="51" spans="2:21" ht="12.75">
      <c r="B51" s="79"/>
      <c r="C51" s="80"/>
      <c r="D51" s="83"/>
      <c r="E51" s="83"/>
      <c r="F51" s="83"/>
      <c r="G51" s="83"/>
      <c r="H51" s="83"/>
      <c r="I51" s="83"/>
      <c r="J51" s="71"/>
      <c r="K51" s="71"/>
      <c r="L51" s="71"/>
      <c r="M51" s="71"/>
      <c r="N51" s="71"/>
      <c r="P51" s="52"/>
      <c r="R51" s="71"/>
      <c r="T51" s="60"/>
      <c r="U51" s="71"/>
    </row>
    <row r="52" spans="6:21" ht="12.75">
      <c r="F52" s="68"/>
      <c r="G52" s="76"/>
      <c r="J52" s="71"/>
      <c r="K52" s="71"/>
      <c r="L52" s="71"/>
      <c r="M52" s="71"/>
      <c r="N52" s="71"/>
      <c r="P52" s="52"/>
      <c r="R52" s="71"/>
      <c r="U52" s="71"/>
    </row>
    <row r="53" spans="5:21" ht="12.75">
      <c r="E53" s="79"/>
      <c r="F53" s="68"/>
      <c r="G53" s="76"/>
      <c r="J53" s="71"/>
      <c r="K53" s="71"/>
      <c r="L53" s="71"/>
      <c r="M53" s="71"/>
      <c r="N53" s="71"/>
      <c r="P53" s="80"/>
      <c r="U53" s="71"/>
    </row>
    <row r="54" spans="2:21" ht="12.75">
      <c r="B54" s="79"/>
      <c r="F54" s="68"/>
      <c r="G54" s="76"/>
      <c r="J54" s="71"/>
      <c r="K54" s="71"/>
      <c r="L54" s="71"/>
      <c r="M54" s="71"/>
      <c r="N54" s="71"/>
      <c r="P54" s="52"/>
      <c r="U54" s="71"/>
    </row>
    <row r="55" spans="2:21" ht="12.75">
      <c r="B55" s="79"/>
      <c r="C55" s="60"/>
      <c r="D55" s="60"/>
      <c r="F55" s="68"/>
      <c r="G55" s="76"/>
      <c r="J55" s="71"/>
      <c r="K55" s="71"/>
      <c r="L55" s="71"/>
      <c r="M55" s="71"/>
      <c r="N55" s="71"/>
      <c r="U55" s="71"/>
    </row>
    <row r="56" spans="2:14" ht="12.75">
      <c r="B56" s="79"/>
      <c r="C56" s="60"/>
      <c r="D56" s="60"/>
      <c r="F56" s="68"/>
      <c r="J56" s="71"/>
      <c r="K56" s="71"/>
      <c r="L56" s="71"/>
      <c r="M56" s="71"/>
      <c r="N56" s="71"/>
    </row>
    <row r="57" spans="2:14" ht="12.75">
      <c r="B57" s="79"/>
      <c r="C57" s="60"/>
      <c r="D57" s="60"/>
      <c r="E57" s="60"/>
      <c r="J57" s="71"/>
      <c r="K57" s="71"/>
      <c r="L57" s="71"/>
      <c r="M57" s="71"/>
      <c r="N57" s="71"/>
    </row>
    <row r="58" spans="2:14" ht="12.75">
      <c r="B58" s="79"/>
      <c r="C58" s="60"/>
      <c r="D58" s="60"/>
      <c r="E58" s="60"/>
      <c r="J58" s="71"/>
      <c r="K58" s="71"/>
      <c r="L58" s="71"/>
      <c r="M58" s="71"/>
      <c r="N58" s="71"/>
    </row>
    <row r="59" spans="2:14" ht="12.75">
      <c r="B59" s="79"/>
      <c r="C59" s="108"/>
      <c r="D59" s="108"/>
      <c r="E59" s="60"/>
      <c r="J59" s="71"/>
      <c r="K59" s="71"/>
      <c r="L59" s="71"/>
      <c r="M59" s="71"/>
      <c r="N59" s="71"/>
    </row>
    <row r="60" spans="2:14" ht="12.75">
      <c r="B60" s="79"/>
      <c r="C60" s="60"/>
      <c r="D60" s="60"/>
      <c r="E60" s="60"/>
      <c r="J60" s="71"/>
      <c r="K60" s="71"/>
      <c r="L60" s="71"/>
      <c r="M60" s="71"/>
      <c r="N60" s="71"/>
    </row>
    <row r="61" spans="3:14" ht="12.75">
      <c r="C61" s="60"/>
      <c r="D61" s="60"/>
      <c r="J61" s="71"/>
      <c r="K61" s="71"/>
      <c r="L61" s="71"/>
      <c r="M61" s="71"/>
      <c r="N61" s="71"/>
    </row>
    <row r="62" spans="2:14" ht="12.75">
      <c r="B62" s="79"/>
      <c r="C62" s="60"/>
      <c r="D62" s="60"/>
      <c r="E62" s="60"/>
      <c r="J62" s="71"/>
      <c r="K62" s="71"/>
      <c r="L62" s="71"/>
      <c r="M62" s="71"/>
      <c r="N62" s="71"/>
    </row>
    <row r="63" spans="3:14" ht="12.75">
      <c r="C63" s="60"/>
      <c r="D63" s="60"/>
      <c r="E63" s="60"/>
      <c r="J63" s="71"/>
      <c r="K63" s="71"/>
      <c r="L63" s="71"/>
      <c r="M63" s="71"/>
      <c r="N63" s="71"/>
    </row>
    <row r="64" spans="2:14" ht="12.75">
      <c r="B64" s="79"/>
      <c r="C64" s="109"/>
      <c r="D64" s="109"/>
      <c r="E64" s="109"/>
      <c r="J64" s="71"/>
      <c r="K64" s="71"/>
      <c r="L64" s="71"/>
      <c r="M64" s="71"/>
      <c r="N64" s="71"/>
    </row>
    <row r="65" spans="10:14" ht="12.75">
      <c r="J65" s="71"/>
      <c r="K65" s="71"/>
      <c r="L65" s="71"/>
      <c r="M65" s="71"/>
      <c r="N65" s="71"/>
    </row>
  </sheetData>
  <sheetProtection/>
  <mergeCells count="7">
    <mergeCell ref="C1:Z1"/>
    <mergeCell ref="H2:J2"/>
    <mergeCell ref="O2:R2"/>
    <mergeCell ref="S2:U2"/>
    <mergeCell ref="V2:W2"/>
    <mergeCell ref="X2:Z2"/>
    <mergeCell ref="K2:N2"/>
  </mergeCells>
  <printOptions/>
  <pageMargins left="0.2" right="0.2" top="0.23" bottom="0.23" header="0.17" footer="0.17"/>
  <pageSetup fitToHeight="1" fitToWidth="1" horizontalDpi="600" verticalDpi="600" orientation="landscape" paperSize="17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 Jamieson</dc:creator>
  <cp:keywords/>
  <dc:description/>
  <cp:lastModifiedBy>TODD, MELISSA</cp:lastModifiedBy>
  <cp:lastPrinted>2012-06-13T16:43:12Z</cp:lastPrinted>
  <dcterms:created xsi:type="dcterms:W3CDTF">2010-02-08T13:29:36Z</dcterms:created>
  <dcterms:modified xsi:type="dcterms:W3CDTF">2012-06-13T18:20:05Z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reationPath">
    <vt:lpwstr>ccae7124-5fa8-4cd4-971b-8551cd07147b,2;ccae7124-5fa8-4cd4-971b-8551cd07147b,2;</vt:lpwstr>
  </property>
  <property fmtid="{D5CDD505-2E9C-101B-9397-08002B2CF9AE}" pid="3" name="MetadataSecurityLog">
    <vt:lpwstr>&lt;Log Date="-8588610234122104853" Reason="ItemUpdated" Error=""&gt;&lt;Rule Message="" Name="Admin" /&gt;&lt;/Log&gt;</vt:lpwstr>
  </property>
  <property fmtid="{D5CDD505-2E9C-101B-9397-08002B2CF9AE}" pid="4" name="display_urn:schemas-microsoft-com:office:office#IR_Owner">
    <vt:lpwstr>GRUS, VOYTEK</vt:lpwstr>
  </property>
  <property fmtid="{D5CDD505-2E9C-101B-9397-08002B2CF9AE}" pid="5" name="Order">
    <vt:lpwstr>88200.0000000000</vt:lpwstr>
  </property>
  <property fmtid="{D5CDD505-2E9C-101B-9397-08002B2CF9AE}" pid="6" name="display_urn:schemas-microsoft-com:office:office#IR_Writer">
    <vt:lpwstr>POWER, LISA</vt:lpwstr>
  </property>
  <property fmtid="{D5CDD505-2E9C-101B-9397-08002B2CF9AE}" pid="7" name="ContentType">
    <vt:lpwstr>Document</vt:lpwstr>
  </property>
  <property fmtid="{D5CDD505-2E9C-101B-9397-08002B2CF9AE}" pid="8" name="ContentTypeId">
    <vt:lpwstr>0x01010057B90F1B5607C74BB9C830BB25E50669</vt:lpwstr>
  </property>
  <property fmtid="{D5CDD505-2E9C-101B-9397-08002B2CF9AE}" pid="9" name="IR_Responder">
    <vt:lpwstr>15</vt:lpwstr>
  </property>
  <property fmtid="{D5CDD505-2E9C-101B-9397-08002B2CF9AE}" pid="10" name="IR_Owner">
    <vt:lpwstr>48</vt:lpwstr>
  </property>
  <property fmtid="{D5CDD505-2E9C-101B-9397-08002B2CF9AE}" pid="11" name="IR_Subtopic">
    <vt:lpwstr>215</vt:lpwstr>
  </property>
  <property fmtid="{D5CDD505-2E9C-101B-9397-08002B2CF9AE}" pid="12" name="IR_Witness">
    <vt:lpwstr/>
  </property>
  <property fmtid="{D5CDD505-2E9C-101B-9397-08002B2CF9AE}" pid="13" name="IR_Filing_Date">
    <vt:lpwstr>2012-06-25T00:00:00Z</vt:lpwstr>
  </property>
  <property fmtid="{D5CDD505-2E9C-101B-9397-08002B2CF9AE}" pid="14" name="IR_Received_Date">
    <vt:lpwstr>2012-06-11T00:00:00Z</vt:lpwstr>
  </property>
  <property fmtid="{D5CDD505-2E9C-101B-9397-08002B2CF9AE}" pid="15" name="IR_Description_Field">
    <vt:lpwstr/>
  </property>
  <property fmtid="{D5CDD505-2E9C-101B-9397-08002B2CF9AE}" pid="16" name="IR_Writer">
    <vt:lpwstr>343</vt:lpwstr>
  </property>
  <property fmtid="{D5CDD505-2E9C-101B-9397-08002B2CF9AE}" pid="17" name="IR_Context">
    <vt:lpwstr>20</vt:lpwstr>
  </property>
  <property fmtid="{D5CDD505-2E9C-101B-9397-08002B2CF9AE}" pid="18" name="IR_Status">
    <vt:lpwstr>20</vt:lpwstr>
  </property>
  <property fmtid="{D5CDD505-2E9C-101B-9397-08002B2CF9AE}" pid="19" name="IR_Review_Sort">
    <vt:lpwstr>CA IR 026-050</vt:lpwstr>
  </property>
  <property fmtid="{D5CDD505-2E9C-101B-9397-08002B2CF9AE}" pid="20" name="IR_Requester">
    <vt:lpwstr>9</vt:lpwstr>
  </property>
</Properties>
</file>