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6915" activeTab="0"/>
  </bookViews>
  <sheets>
    <sheet name="NPB IR 95 Gas Index 86 2001" sheetId="1" r:id="rId1"/>
  </sheets>
  <definedNames>
    <definedName name="_xlnm.Print_Titles" localSheetId="0">'NPB IR 95 Gas Index 86 2001'!$1:$4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<sst xmlns="http://schemas.openxmlformats.org/spreadsheetml/2006/main" count="12" uniqueCount="12">
  <si>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Moody's Gas Distributors</t>
  </si>
  <si>
    <t>Moody's Gas</t>
  </si>
  <si>
    <t xml:space="preserve"> Distribution</t>
  </si>
  <si>
    <t xml:space="preserve">  Total</t>
  </si>
  <si>
    <t>Value at</t>
  </si>
  <si>
    <t xml:space="preserve">  ROR in</t>
  </si>
  <si>
    <t xml:space="preserve">     Year</t>
  </si>
  <si>
    <t xml:space="preserve"> Price</t>
  </si>
  <si>
    <t>Dividend</t>
  </si>
  <si>
    <t xml:space="preserve">  Shares</t>
  </si>
  <si>
    <t>End of Yr</t>
  </si>
  <si>
    <t xml:space="preserve">  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</si>
</sst>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#,##0.000_);\(#,##0.000\)"/>
    <numFmt numFmtId="167" formatCode="dd\-mmm\-yy_)"/>
    <numFmt numFmtId="168" formatCode="0.00000"/>
    <numFmt numFmtId="169" formatCode="0.0"/>
  </numFmts>
  <fonts count="37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7" fontId="1" fillId="0" borderId="0" xfId="0" applyNumberFormat="1" applyFont="1" applyAlignment="1">
      <alignment/>
    </xf>
    <xf numFmtId="167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 applyProtection="1">
      <alignment/>
      <protection locked="0"/>
    </xf>
    <xf numFmtId="169" fontId="1" fillId="0" borderId="10" xfId="0" applyNumberFormat="1" applyFont="1" applyBorder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view="pageBreakPreview" zoomScale="60" zoomScalePageLayoutView="0" workbookViewId="0" topLeftCell="A1">
      <selection activeCell="H9" sqref="H9"/>
    </sheetView>
  </sheetViews>
  <sheetFormatPr defaultColWidth="9.140625" defaultRowHeight="12.75"/>
  <cols>
    <col min="1" max="1" width="12.00390625" style="0" customWidth="1"/>
    <col min="5" max="5" width="12.28125" style="0" customWidth="1"/>
  </cols>
  <sheetData>
    <row r="1" s="1" customFormat="1" ht="12.75">
      <c r="B1" s="2" t="s">
        <v>0</v>
      </c>
    </row>
    <row r="2" s="1" customFormat="1" ht="12.75">
      <c r="B2" s="3" t="s">
        <v>1</v>
      </c>
    </row>
    <row r="3" spans="2:6" s="1" customFormat="1" ht="12.75">
      <c r="B3" s="4" t="s">
        <v>2</v>
      </c>
      <c r="C3" s="4"/>
      <c r="D3" s="4" t="s">
        <v>3</v>
      </c>
      <c r="E3" s="4" t="s">
        <v>4</v>
      </c>
      <c r="F3" s="4" t="s">
        <v>5</v>
      </c>
    </row>
    <row r="4" spans="1:6" s="1" customFormat="1" ht="12.75">
      <c r="A4" s="4" t="s">
        <v>6</v>
      </c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s="1" customFormat="1" ht="12.75">
      <c r="A5" s="5">
        <v>31017</v>
      </c>
      <c r="B5" s="9">
        <v>69.7</v>
      </c>
      <c r="C5" s="9"/>
      <c r="D5" s="9">
        <v>1</v>
      </c>
      <c r="E5" s="9">
        <f>B5</f>
        <v>69.7</v>
      </c>
      <c r="F5" s="9"/>
    </row>
    <row r="6" spans="1:6" s="1" customFormat="1" ht="12.75">
      <c r="A6" s="5">
        <f>A5+31</f>
        <v>31048</v>
      </c>
      <c r="B6" s="9">
        <v>71.68</v>
      </c>
      <c r="C6" s="9">
        <v>0.49</v>
      </c>
      <c r="D6" s="10">
        <f>D5+((D5*C6)/B6)</f>
        <v>1.0068359375</v>
      </c>
      <c r="E6" s="10">
        <f>B6*D6</f>
        <v>72.17</v>
      </c>
      <c r="F6" s="10">
        <f>((E6/E5)-1)*100</f>
        <v>3.5437589670014313</v>
      </c>
    </row>
    <row r="7" spans="1:6" s="1" customFormat="1" ht="12.75">
      <c r="A7" s="5">
        <f aca="true" t="shared" si="0" ref="A7:A17">A6+31</f>
        <v>31079</v>
      </c>
      <c r="B7" s="9">
        <v>72</v>
      </c>
      <c r="C7" s="9">
        <v>0.4991666666666667</v>
      </c>
      <c r="D7" s="10">
        <f aca="true" t="shared" si="1" ref="D7:D17">D6+((D6*C7)/B7)</f>
        <v>1.0138162005389177</v>
      </c>
      <c r="E7" s="10">
        <f aca="true" t="shared" si="2" ref="E7:E17">B7*D7</f>
        <v>72.99476643880207</v>
      </c>
      <c r="F7" s="10">
        <f aca="true" t="shared" si="3" ref="F7:F16">((E7/E6)-1)*100</f>
        <v>1.1428106398809312</v>
      </c>
    </row>
    <row r="8" spans="1:6" s="1" customFormat="1" ht="12.75">
      <c r="A8" s="5">
        <f t="shared" si="0"/>
        <v>31110</v>
      </c>
      <c r="B8" s="9">
        <v>75.57</v>
      </c>
      <c r="C8" s="9">
        <v>0.5008333333333334</v>
      </c>
      <c r="D8" s="10">
        <f t="shared" si="1"/>
        <v>1.0205351756229888</v>
      </c>
      <c r="E8" s="10">
        <f t="shared" si="2"/>
        <v>77.12184322182925</v>
      </c>
      <c r="F8" s="10">
        <f t="shared" si="3"/>
        <v>5.653935185185177</v>
      </c>
    </row>
    <row r="9" spans="1:6" s="1" customFormat="1" ht="12.75">
      <c r="A9" s="5">
        <f t="shared" si="0"/>
        <v>31141</v>
      </c>
      <c r="B9" s="9">
        <v>75.49</v>
      </c>
      <c r="C9" s="9">
        <v>0.5025</v>
      </c>
      <c r="D9" s="10">
        <f t="shared" si="1"/>
        <v>1.0273283790373555</v>
      </c>
      <c r="E9" s="10">
        <f t="shared" si="2"/>
        <v>77.55301933352996</v>
      </c>
      <c r="F9" s="10">
        <f t="shared" si="3"/>
        <v>0.5590842927087447</v>
      </c>
    </row>
    <row r="10" spans="1:6" s="1" customFormat="1" ht="12.75">
      <c r="A10" s="5">
        <f t="shared" si="0"/>
        <v>31172</v>
      </c>
      <c r="B10" s="9">
        <v>78.96</v>
      </c>
      <c r="C10" s="9">
        <v>0.5025</v>
      </c>
      <c r="D10" s="10">
        <f t="shared" si="1"/>
        <v>1.0338662781060772</v>
      </c>
      <c r="E10" s="10">
        <f t="shared" si="2"/>
        <v>81.63408131925586</v>
      </c>
      <c r="F10" s="10">
        <f t="shared" si="3"/>
        <v>5.262286395549087</v>
      </c>
    </row>
    <row r="11" spans="1:6" s="1" customFormat="1" ht="12.75">
      <c r="A11" s="5">
        <f t="shared" si="0"/>
        <v>31203</v>
      </c>
      <c r="B11" s="9">
        <v>81.61</v>
      </c>
      <c r="C11" s="9">
        <v>0.5025</v>
      </c>
      <c r="D11" s="10">
        <f t="shared" si="1"/>
        <v>1.0402321377402926</v>
      </c>
      <c r="E11" s="10">
        <f t="shared" si="2"/>
        <v>84.89334476098527</v>
      </c>
      <c r="F11" s="10">
        <f t="shared" si="3"/>
        <v>3.992527862208717</v>
      </c>
    </row>
    <row r="12" spans="1:6" s="1" customFormat="1" ht="12.75">
      <c r="A12" s="5">
        <f t="shared" si="0"/>
        <v>31234</v>
      </c>
      <c r="B12" s="9">
        <v>77.49</v>
      </c>
      <c r="C12" s="9">
        <v>0.5041666666666667</v>
      </c>
      <c r="D12" s="10">
        <f t="shared" si="1"/>
        <v>1.0470001125685808</v>
      </c>
      <c r="E12" s="10">
        <f t="shared" si="2"/>
        <v>81.13203872293933</v>
      </c>
      <c r="F12" s="10">
        <f t="shared" si="3"/>
        <v>-4.430625331862926</v>
      </c>
    </row>
    <row r="13" spans="1:6" s="1" customFormat="1" ht="12.75">
      <c r="A13" s="5">
        <f t="shared" si="0"/>
        <v>31265</v>
      </c>
      <c r="B13" s="9">
        <v>75.7</v>
      </c>
      <c r="C13" s="9">
        <v>0.5058333333333334</v>
      </c>
      <c r="D13" s="10">
        <f t="shared" si="1"/>
        <v>1.053996249384181</v>
      </c>
      <c r="E13" s="10">
        <f t="shared" si="2"/>
        <v>79.78751607838251</v>
      </c>
      <c r="F13" s="10">
        <f t="shared" si="3"/>
        <v>-1.6572030799673065</v>
      </c>
    </row>
    <row r="14" spans="1:6" s="1" customFormat="1" ht="12.75">
      <c r="A14" s="5">
        <f t="shared" si="0"/>
        <v>31296</v>
      </c>
      <c r="B14" s="9">
        <v>74.09</v>
      </c>
      <c r="C14" s="9">
        <v>0.5058333333333334</v>
      </c>
      <c r="D14" s="10">
        <f t="shared" si="1"/>
        <v>1.0611921791472643</v>
      </c>
      <c r="E14" s="10">
        <f t="shared" si="2"/>
        <v>78.62372855302081</v>
      </c>
      <c r="F14" s="10">
        <f t="shared" si="3"/>
        <v>-1.45860854249229</v>
      </c>
    </row>
    <row r="15" spans="1:6" s="1" customFormat="1" ht="12.75">
      <c r="A15" s="5">
        <f t="shared" si="0"/>
        <v>31327</v>
      </c>
      <c r="B15" s="9">
        <v>74.52</v>
      </c>
      <c r="C15" s="9">
        <v>0.5075</v>
      </c>
      <c r="D15" s="10">
        <f t="shared" si="1"/>
        <v>1.0684191656061643</v>
      </c>
      <c r="E15" s="10">
        <f t="shared" si="2"/>
        <v>79.61859622097137</v>
      </c>
      <c r="F15" s="10">
        <f t="shared" si="3"/>
        <v>1.2653529491159388</v>
      </c>
    </row>
    <row r="16" spans="1:6" s="1" customFormat="1" ht="13.5" thickBot="1">
      <c r="A16" s="5">
        <f t="shared" si="0"/>
        <v>31358</v>
      </c>
      <c r="B16" s="9">
        <v>78.28</v>
      </c>
      <c r="C16" s="9">
        <v>0.5158333333333334</v>
      </c>
      <c r="D16" s="10">
        <f t="shared" si="1"/>
        <v>1.0754596129693714</v>
      </c>
      <c r="E16" s="10">
        <f t="shared" si="2"/>
        <v>84.1869785032424</v>
      </c>
      <c r="F16" s="10">
        <f t="shared" si="3"/>
        <v>5.737833243871893</v>
      </c>
    </row>
    <row r="17" spans="1:6" s="1" customFormat="1" ht="13.5" thickBot="1">
      <c r="A17" s="5">
        <f t="shared" si="0"/>
        <v>31389</v>
      </c>
      <c r="B17" s="9">
        <v>76.58</v>
      </c>
      <c r="C17" s="9">
        <v>0.5183333333333333</v>
      </c>
      <c r="D17" s="10">
        <f t="shared" si="1"/>
        <v>1.0827388838763419</v>
      </c>
      <c r="E17" s="10">
        <f t="shared" si="2"/>
        <v>82.91614372725026</v>
      </c>
      <c r="F17" s="11">
        <f>((E17/E5)-1)*100</f>
        <v>18.961468762195487</v>
      </c>
    </row>
    <row r="18" spans="2:6" s="1" customFormat="1" ht="12.75">
      <c r="B18" s="9"/>
      <c r="C18" s="9"/>
      <c r="D18" s="9"/>
      <c r="E18" s="9"/>
      <c r="F18" s="9"/>
    </row>
    <row r="19" spans="1:6" s="1" customFormat="1" ht="12.75">
      <c r="A19" s="5">
        <v>31382</v>
      </c>
      <c r="B19" s="9">
        <f>B17</f>
        <v>76.58</v>
      </c>
      <c r="C19" s="9"/>
      <c r="D19" s="9">
        <v>1</v>
      </c>
      <c r="E19" s="9">
        <f>B19</f>
        <v>76.58</v>
      </c>
      <c r="F19" s="9"/>
    </row>
    <row r="20" spans="1:6" s="1" customFormat="1" ht="12.75">
      <c r="A20" s="5">
        <f>A19+31</f>
        <v>31413</v>
      </c>
      <c r="B20" s="9">
        <v>77.93</v>
      </c>
      <c r="C20" s="9">
        <v>0.5183333333333333</v>
      </c>
      <c r="D20" s="10">
        <f aca="true" t="shared" si="4" ref="D20:D31">D19+((D19*C20)/B20)</f>
        <v>1.0066512682321742</v>
      </c>
      <c r="E20" s="10">
        <f aca="true" t="shared" si="5" ref="E20:E31">B20*D20</f>
        <v>78.44833333333334</v>
      </c>
      <c r="F20" s="10">
        <f>((E20/E19)-1)*100</f>
        <v>2.4397144598241605</v>
      </c>
    </row>
    <row r="21" spans="1:6" s="1" customFormat="1" ht="12.75">
      <c r="A21" s="5">
        <f aca="true" t="shared" si="6" ref="A21:A31">A20+31</f>
        <v>31444</v>
      </c>
      <c r="B21" s="9">
        <v>81.41</v>
      </c>
      <c r="C21" s="9">
        <v>0.5258333333333333</v>
      </c>
      <c r="D21" s="10">
        <f t="shared" si="4"/>
        <v>1.0131533047372565</v>
      </c>
      <c r="E21" s="10">
        <f t="shared" si="5"/>
        <v>82.48081053866005</v>
      </c>
      <c r="F21" s="10">
        <f aca="true" t="shared" si="7" ref="F21:F30">((E21/E20)-1)*100</f>
        <v>5.140296847598269</v>
      </c>
    </row>
    <row r="22" spans="1:6" s="1" customFormat="1" ht="12.75">
      <c r="A22" s="5">
        <f t="shared" si="6"/>
        <v>31475</v>
      </c>
      <c r="B22" s="9">
        <v>86.99</v>
      </c>
      <c r="C22" s="9">
        <v>0.45916666666666667</v>
      </c>
      <c r="D22" s="10">
        <f t="shared" si="4"/>
        <v>1.0185011174255945</v>
      </c>
      <c r="E22" s="10">
        <f t="shared" si="5"/>
        <v>88.59941220485246</v>
      </c>
      <c r="F22" s="10">
        <f t="shared" si="7"/>
        <v>7.418212340826247</v>
      </c>
    </row>
    <row r="23" spans="1:6" s="1" customFormat="1" ht="12.75">
      <c r="A23" s="5">
        <f t="shared" si="6"/>
        <v>31506</v>
      </c>
      <c r="B23" s="9">
        <v>90.63</v>
      </c>
      <c r="C23" s="9">
        <v>0.45916666666666667</v>
      </c>
      <c r="D23" s="10">
        <f t="shared" si="4"/>
        <v>1.0236612383908883</v>
      </c>
      <c r="E23" s="10">
        <f t="shared" si="5"/>
        <v>92.7744180353662</v>
      </c>
      <c r="F23" s="10">
        <f t="shared" si="7"/>
        <v>4.712227459094898</v>
      </c>
    </row>
    <row r="24" spans="1:6" s="1" customFormat="1" ht="12.75">
      <c r="A24" s="5">
        <f t="shared" si="6"/>
        <v>31537</v>
      </c>
      <c r="B24" s="9">
        <v>91.53</v>
      </c>
      <c r="C24" s="9">
        <v>0.45916666666666667</v>
      </c>
      <c r="D24" s="10">
        <f t="shared" si="4"/>
        <v>1.028796506812475</v>
      </c>
      <c r="E24" s="10">
        <f t="shared" si="5"/>
        <v>94.16574426854584</v>
      </c>
      <c r="F24" s="10">
        <f t="shared" si="7"/>
        <v>1.4996873735702243</v>
      </c>
    </row>
    <row r="25" spans="1:6" s="1" customFormat="1" ht="12.75">
      <c r="A25" s="5">
        <f t="shared" si="6"/>
        <v>31568</v>
      </c>
      <c r="B25" s="9">
        <v>94.35</v>
      </c>
      <c r="C25" s="9">
        <v>0.45916666666666667</v>
      </c>
      <c r="D25" s="10">
        <f t="shared" si="4"/>
        <v>1.0338032801321506</v>
      </c>
      <c r="E25" s="10">
        <f t="shared" si="5"/>
        <v>97.5393394804684</v>
      </c>
      <c r="F25" s="10">
        <f t="shared" si="7"/>
        <v>3.5826140791725747</v>
      </c>
    </row>
    <row r="26" spans="1:6" s="1" customFormat="1" ht="12.75">
      <c r="A26" s="5">
        <f t="shared" si="6"/>
        <v>31599</v>
      </c>
      <c r="B26" s="9">
        <v>94.2</v>
      </c>
      <c r="C26" s="9">
        <v>0.46</v>
      </c>
      <c r="D26" s="10">
        <f t="shared" si="4"/>
        <v>1.038851576404558</v>
      </c>
      <c r="E26" s="10">
        <f t="shared" si="5"/>
        <v>97.85981849730938</v>
      </c>
      <c r="F26" s="10">
        <f t="shared" si="7"/>
        <v>0.3285638579756389</v>
      </c>
    </row>
    <row r="27" spans="1:6" s="1" customFormat="1" ht="12.75">
      <c r="A27" s="5">
        <f t="shared" si="6"/>
        <v>31630</v>
      </c>
      <c r="B27" s="9">
        <v>98.11</v>
      </c>
      <c r="C27" s="9">
        <v>0.46166666666666667</v>
      </c>
      <c r="D27" s="10">
        <f t="shared" si="4"/>
        <v>1.0437399990367067</v>
      </c>
      <c r="E27" s="10">
        <f t="shared" si="5"/>
        <v>102.4013313054913</v>
      </c>
      <c r="F27" s="10">
        <f t="shared" si="7"/>
        <v>4.640835102618546</v>
      </c>
    </row>
    <row r="28" spans="1:6" s="1" customFormat="1" ht="12.75">
      <c r="A28" s="5">
        <f t="shared" si="6"/>
        <v>31661</v>
      </c>
      <c r="B28" s="9">
        <v>91.99</v>
      </c>
      <c r="C28" s="9">
        <v>0.46166666666666667</v>
      </c>
      <c r="D28" s="10">
        <f t="shared" si="4"/>
        <v>1.048978176732347</v>
      </c>
      <c r="E28" s="10">
        <f t="shared" si="5"/>
        <v>96.4955024776086</v>
      </c>
      <c r="F28" s="10">
        <f t="shared" si="7"/>
        <v>-5.767335983419974</v>
      </c>
    </row>
    <row r="29" spans="1:6" s="1" customFormat="1" ht="12.75">
      <c r="A29" s="5">
        <f t="shared" si="6"/>
        <v>31692</v>
      </c>
      <c r="B29" s="9">
        <v>92.69</v>
      </c>
      <c r="C29" s="9">
        <v>0.4625</v>
      </c>
      <c r="D29" s="10">
        <f t="shared" si="4"/>
        <v>1.054212316410184</v>
      </c>
      <c r="E29" s="10">
        <f t="shared" si="5"/>
        <v>97.71493960805995</v>
      </c>
      <c r="F29" s="10">
        <f t="shared" si="7"/>
        <v>1.2637243178606372</v>
      </c>
    </row>
    <row r="30" spans="1:6" s="1" customFormat="1" ht="13.5" thickBot="1">
      <c r="A30" s="5">
        <f t="shared" si="6"/>
        <v>31723</v>
      </c>
      <c r="B30" s="9">
        <v>93.36</v>
      </c>
      <c r="C30" s="9">
        <v>0.4741666666666667</v>
      </c>
      <c r="D30" s="10">
        <f t="shared" si="4"/>
        <v>1.0595665616975787</v>
      </c>
      <c r="E30" s="10">
        <f t="shared" si="5"/>
        <v>98.92113420008594</v>
      </c>
      <c r="F30" s="10">
        <f t="shared" si="7"/>
        <v>1.2344014097169786</v>
      </c>
    </row>
    <row r="31" spans="1:6" s="1" customFormat="1" ht="13.5" thickBot="1">
      <c r="A31" s="5">
        <f t="shared" si="6"/>
        <v>31754</v>
      </c>
      <c r="B31" s="9">
        <v>90.89</v>
      </c>
      <c r="C31" s="9">
        <v>0.47583333333333333</v>
      </c>
      <c r="D31" s="10">
        <f t="shared" si="4"/>
        <v>1.065113674569634</v>
      </c>
      <c r="E31" s="10">
        <f t="shared" si="5"/>
        <v>96.80818188163403</v>
      </c>
      <c r="F31" s="11">
        <f>((E31/E19)-1)*100</f>
        <v>26.414444870245536</v>
      </c>
    </row>
    <row r="32" spans="2:6" s="1" customFormat="1" ht="12.75">
      <c r="B32" s="9"/>
      <c r="C32" s="9"/>
      <c r="D32" s="9"/>
      <c r="E32" s="9"/>
      <c r="F32" s="9"/>
    </row>
    <row r="33" spans="1:6" s="1" customFormat="1" ht="12.75">
      <c r="A33" s="5">
        <f>A31</f>
        <v>31754</v>
      </c>
      <c r="B33" s="9">
        <f>B31</f>
        <v>90.89</v>
      </c>
      <c r="C33" s="9"/>
      <c r="D33" s="9">
        <v>1</v>
      </c>
      <c r="E33" s="9">
        <f>B33</f>
        <v>90.89</v>
      </c>
      <c r="F33" s="9"/>
    </row>
    <row r="34" spans="1:6" s="1" customFormat="1" ht="12.75">
      <c r="A34" s="5">
        <f>A33+31</f>
        <v>31785</v>
      </c>
      <c r="B34" s="9">
        <v>95.68</v>
      </c>
      <c r="C34" s="9">
        <v>0.47583333333333333</v>
      </c>
      <c r="D34" s="10">
        <f aca="true" t="shared" si="8" ref="D34:D45">D33+((D33*C34)/B34)</f>
        <v>1.004973174470457</v>
      </c>
      <c r="E34" s="10">
        <f aca="true" t="shared" si="9" ref="E34:E45">B34*D34</f>
        <v>96.15583333333335</v>
      </c>
      <c r="F34" s="10">
        <f>((E34/E33)-1)*100</f>
        <v>5.793633329665915</v>
      </c>
    </row>
    <row r="35" spans="1:6" s="1" customFormat="1" ht="12.75">
      <c r="A35" s="5">
        <f aca="true" t="shared" si="10" ref="A35:A45">A34+31</f>
        <v>31816</v>
      </c>
      <c r="B35" s="9">
        <v>96.29</v>
      </c>
      <c r="C35" s="9">
        <v>0.485</v>
      </c>
      <c r="D35" s="10">
        <f t="shared" si="8"/>
        <v>1.0100350914879892</v>
      </c>
      <c r="E35" s="10">
        <f t="shared" si="9"/>
        <v>97.25627895937849</v>
      </c>
      <c r="F35" s="10">
        <f aca="true" t="shared" si="11" ref="F35:F44">((E35/E34)-1)*100</f>
        <v>1.1444397993310984</v>
      </c>
    </row>
    <row r="36" spans="1:6" s="1" customFormat="1" ht="12.75">
      <c r="A36" s="5">
        <f t="shared" si="10"/>
        <v>31847</v>
      </c>
      <c r="B36" s="9">
        <v>96.2</v>
      </c>
      <c r="C36" s="9">
        <v>0.485</v>
      </c>
      <c r="D36" s="10">
        <f t="shared" si="8"/>
        <v>1.0151272642465305</v>
      </c>
      <c r="E36" s="10">
        <f t="shared" si="9"/>
        <v>97.65524282051624</v>
      </c>
      <c r="F36" s="10">
        <f t="shared" si="11"/>
        <v>0.4102191297123081</v>
      </c>
    </row>
    <row r="37" spans="1:6" s="1" customFormat="1" ht="12.75">
      <c r="A37" s="5">
        <f t="shared" si="10"/>
        <v>31878</v>
      </c>
      <c r="B37" s="9">
        <v>88.15</v>
      </c>
      <c r="C37" s="9">
        <v>0.48666666666666664</v>
      </c>
      <c r="D37" s="10">
        <f t="shared" si="8"/>
        <v>1.0207316726632443</v>
      </c>
      <c r="E37" s="10">
        <f t="shared" si="9"/>
        <v>89.97749694526499</v>
      </c>
      <c r="F37" s="10">
        <f t="shared" si="11"/>
        <v>-7.862092862092851</v>
      </c>
    </row>
    <row r="38" spans="1:6" s="1" customFormat="1" ht="12.75">
      <c r="A38" s="5">
        <f t="shared" si="10"/>
        <v>31909</v>
      </c>
      <c r="B38" s="9">
        <v>84.64</v>
      </c>
      <c r="C38" s="9">
        <v>0.48666666666666664</v>
      </c>
      <c r="D38" s="10">
        <f t="shared" si="8"/>
        <v>1.0266007189852684</v>
      </c>
      <c r="E38" s="10">
        <f t="shared" si="9"/>
        <v>86.89148485491312</v>
      </c>
      <c r="F38" s="10">
        <f t="shared" si="11"/>
        <v>-3.429759878994132</v>
      </c>
    </row>
    <row r="39" spans="1:6" s="1" customFormat="1" ht="12.75">
      <c r="A39" s="5">
        <f t="shared" si="10"/>
        <v>31940</v>
      </c>
      <c r="B39" s="9">
        <v>90.26</v>
      </c>
      <c r="C39" s="9">
        <v>0.48666666666666664</v>
      </c>
      <c r="D39" s="10">
        <f t="shared" si="8"/>
        <v>1.0321359765734155</v>
      </c>
      <c r="E39" s="10">
        <f t="shared" si="9"/>
        <v>93.1605932455165</v>
      </c>
      <c r="F39" s="10">
        <f t="shared" si="11"/>
        <v>7.214870825456843</v>
      </c>
    </row>
    <row r="40" spans="1:6" s="1" customFormat="1" ht="12.75">
      <c r="A40" s="5">
        <f t="shared" si="10"/>
        <v>31971</v>
      </c>
      <c r="B40" s="9">
        <v>87.29</v>
      </c>
      <c r="C40" s="9">
        <v>0.48833333333333334</v>
      </c>
      <c r="D40" s="10">
        <f t="shared" si="8"/>
        <v>1.0379101362926657</v>
      </c>
      <c r="E40" s="10">
        <f t="shared" si="9"/>
        <v>90.5991757969868</v>
      </c>
      <c r="F40" s="10">
        <f t="shared" si="11"/>
        <v>-2.749464509934263</v>
      </c>
    </row>
    <row r="41" spans="1:6" s="1" customFormat="1" ht="12.75">
      <c r="A41" s="5">
        <f t="shared" si="10"/>
        <v>32002</v>
      </c>
      <c r="B41" s="9">
        <v>90.47</v>
      </c>
      <c r="C41" s="9">
        <v>0.48833333333333334</v>
      </c>
      <c r="D41" s="10">
        <f t="shared" si="8"/>
        <v>1.04351250300601</v>
      </c>
      <c r="E41" s="10">
        <f t="shared" si="9"/>
        <v>94.40657614695373</v>
      </c>
      <c r="F41" s="10">
        <f t="shared" si="11"/>
        <v>4.202466872875843</v>
      </c>
    </row>
    <row r="42" spans="1:6" s="1" customFormat="1" ht="12.75">
      <c r="A42" s="5">
        <f t="shared" si="10"/>
        <v>32033</v>
      </c>
      <c r="B42" s="9">
        <v>86.21</v>
      </c>
      <c r="C42" s="9">
        <v>0.48833333333333334</v>
      </c>
      <c r="D42" s="10">
        <f t="shared" si="8"/>
        <v>1.0494234407042808</v>
      </c>
      <c r="E42" s="10">
        <f t="shared" si="9"/>
        <v>90.47079482311605</v>
      </c>
      <c r="F42" s="10">
        <f t="shared" si="11"/>
        <v>-4.168969455804872</v>
      </c>
    </row>
    <row r="43" spans="1:6" s="1" customFormat="1" ht="12.75">
      <c r="A43" s="5">
        <f t="shared" si="10"/>
        <v>32064</v>
      </c>
      <c r="B43" s="9">
        <v>78.23</v>
      </c>
      <c r="C43" s="9">
        <v>0.48833333333333334</v>
      </c>
      <c r="D43" s="10">
        <f t="shared" si="8"/>
        <v>1.0559742325600556</v>
      </c>
      <c r="E43" s="10">
        <f t="shared" si="9"/>
        <v>82.60886421317315</v>
      </c>
      <c r="F43" s="10">
        <f t="shared" si="11"/>
        <v>-8.690020492595597</v>
      </c>
    </row>
    <row r="44" spans="1:6" s="1" customFormat="1" ht="13.5" thickBot="1">
      <c r="A44" s="5">
        <f t="shared" si="10"/>
        <v>32095</v>
      </c>
      <c r="B44" s="9">
        <v>78.73</v>
      </c>
      <c r="C44" s="9">
        <v>0.49833333333333335</v>
      </c>
      <c r="D44" s="10">
        <f t="shared" si="8"/>
        <v>1.0626581797114054</v>
      </c>
      <c r="E44" s="10">
        <f t="shared" si="9"/>
        <v>83.66307848867895</v>
      </c>
      <c r="F44" s="10">
        <f t="shared" si="11"/>
        <v>1.276151519025115</v>
      </c>
    </row>
    <row r="45" spans="1:6" s="1" customFormat="1" ht="13.5" thickBot="1">
      <c r="A45" s="5">
        <f t="shared" si="10"/>
        <v>32126</v>
      </c>
      <c r="B45" s="9">
        <v>77.25</v>
      </c>
      <c r="C45" s="9">
        <v>0.5016666666666666</v>
      </c>
      <c r="D45" s="10">
        <f t="shared" si="8"/>
        <v>1.0695591530035982</v>
      </c>
      <c r="E45" s="10">
        <f t="shared" si="9"/>
        <v>82.62344456952796</v>
      </c>
      <c r="F45" s="11">
        <f>((E45/E33)-1)*100</f>
        <v>-9.095120948918511</v>
      </c>
    </row>
    <row r="46" spans="2:6" s="1" customFormat="1" ht="12.75">
      <c r="B46" s="9"/>
      <c r="C46" s="9"/>
      <c r="D46" s="9"/>
      <c r="E46" s="9"/>
      <c r="F46" s="9"/>
    </row>
    <row r="47" spans="1:6" s="1" customFormat="1" ht="12.75">
      <c r="A47" s="5">
        <f>A45</f>
        <v>32126</v>
      </c>
      <c r="B47" s="9">
        <f>B45</f>
        <v>77.25</v>
      </c>
      <c r="C47" s="9"/>
      <c r="D47" s="9">
        <v>1</v>
      </c>
      <c r="E47" s="9">
        <f>B47</f>
        <v>77.25</v>
      </c>
      <c r="F47" s="9"/>
    </row>
    <row r="48" spans="1:6" s="1" customFormat="1" ht="12.75">
      <c r="A48" s="5">
        <f>A47+31</f>
        <v>32157</v>
      </c>
      <c r="B48" s="9">
        <v>84.16</v>
      </c>
      <c r="C48" s="9">
        <v>0.5016666666666666</v>
      </c>
      <c r="D48" s="10">
        <f aca="true" t="shared" si="12" ref="D48:D59">D47+((D47*C48)/B48)</f>
        <v>1.0059608681875791</v>
      </c>
      <c r="E48" s="10">
        <f aca="true" t="shared" si="13" ref="E48:E59">B48*D48</f>
        <v>84.66166666666666</v>
      </c>
      <c r="F48" s="10">
        <f>((E48/E47)-1)*100</f>
        <v>9.594390507011852</v>
      </c>
    </row>
    <row r="49" spans="1:6" s="1" customFormat="1" ht="12.75">
      <c r="A49" s="5">
        <f aca="true" t="shared" si="14" ref="A49:A59">A48+31</f>
        <v>32188</v>
      </c>
      <c r="B49" s="9">
        <v>86.75</v>
      </c>
      <c r="C49" s="9">
        <v>0.5075</v>
      </c>
      <c r="D49" s="10">
        <f t="shared" si="12"/>
        <v>1.0118458842176101</v>
      </c>
      <c r="E49" s="10">
        <f t="shared" si="13"/>
        <v>87.77763045587768</v>
      </c>
      <c r="F49" s="10">
        <f aca="true" t="shared" si="15" ref="F49:F58">((E49/E48)-1)*100</f>
        <v>3.6804895437262397</v>
      </c>
    </row>
    <row r="50" spans="1:6" s="1" customFormat="1" ht="12.75">
      <c r="A50" s="5">
        <f t="shared" si="14"/>
        <v>32219</v>
      </c>
      <c r="B50" s="9">
        <v>83.68</v>
      </c>
      <c r="C50" s="9">
        <v>0.5075</v>
      </c>
      <c r="D50" s="10">
        <f t="shared" si="12"/>
        <v>1.0179824973418983</v>
      </c>
      <c r="E50" s="10">
        <f t="shared" si="13"/>
        <v>85.18477537757005</v>
      </c>
      <c r="F50" s="10">
        <f t="shared" si="15"/>
        <v>-2.9538904899135576</v>
      </c>
    </row>
    <row r="51" spans="1:6" s="1" customFormat="1" ht="12.75">
      <c r="A51" s="5">
        <f t="shared" si="14"/>
        <v>32250</v>
      </c>
      <c r="B51" s="9">
        <v>84.75</v>
      </c>
      <c r="C51" s="9">
        <v>0.5108333333333334</v>
      </c>
      <c r="D51" s="10">
        <f t="shared" si="12"/>
        <v>1.024118419376024</v>
      </c>
      <c r="E51" s="10">
        <f t="shared" si="13"/>
        <v>86.79403604211804</v>
      </c>
      <c r="F51" s="10">
        <f t="shared" si="15"/>
        <v>1.8891411727214757</v>
      </c>
    </row>
    <row r="52" spans="1:6" s="1" customFormat="1" ht="12.75">
      <c r="A52" s="5">
        <f t="shared" si="14"/>
        <v>32281</v>
      </c>
      <c r="B52" s="9">
        <v>85.84</v>
      </c>
      <c r="C52" s="9">
        <v>0.5108333333333334</v>
      </c>
      <c r="D52" s="10">
        <f t="shared" si="12"/>
        <v>1.0302129420449186</v>
      </c>
      <c r="E52" s="10">
        <f t="shared" si="13"/>
        <v>88.43347894513582</v>
      </c>
      <c r="F52" s="10">
        <f t="shared" si="15"/>
        <v>1.8888888888888733</v>
      </c>
    </row>
    <row r="53" spans="1:6" s="1" customFormat="1" ht="12.75">
      <c r="A53" s="5">
        <f t="shared" si="14"/>
        <v>32312</v>
      </c>
      <c r="B53" s="9">
        <v>89.64</v>
      </c>
      <c r="C53" s="9">
        <v>0.5108333333333334</v>
      </c>
      <c r="D53" s="10">
        <f t="shared" si="12"/>
        <v>1.0360838379756185</v>
      </c>
      <c r="E53" s="10">
        <f t="shared" si="13"/>
        <v>92.87455523613444</v>
      </c>
      <c r="F53" s="10">
        <f t="shared" si="15"/>
        <v>5.021940043491746</v>
      </c>
    </row>
    <row r="54" spans="1:6" s="1" customFormat="1" ht="12.75">
      <c r="A54" s="5">
        <f t="shared" si="14"/>
        <v>32343</v>
      </c>
      <c r="B54" s="9">
        <v>89.39</v>
      </c>
      <c r="C54" s="9">
        <v>0.5125</v>
      </c>
      <c r="D54" s="10">
        <f t="shared" si="12"/>
        <v>1.0420240210717424</v>
      </c>
      <c r="E54" s="10">
        <f t="shared" si="13"/>
        <v>93.14652724360306</v>
      </c>
      <c r="F54" s="10">
        <f t="shared" si="15"/>
        <v>0.29283801874164794</v>
      </c>
    </row>
    <row r="55" spans="1:6" s="1" customFormat="1" ht="12.75">
      <c r="A55" s="5">
        <f t="shared" si="14"/>
        <v>32374</v>
      </c>
      <c r="B55" s="9">
        <v>84.44</v>
      </c>
      <c r="C55" s="9">
        <v>0.5133333333333333</v>
      </c>
      <c r="D55" s="10">
        <f t="shared" si="12"/>
        <v>1.0483587636599727</v>
      </c>
      <c r="E55" s="10">
        <f t="shared" si="13"/>
        <v>88.5234140034481</v>
      </c>
      <c r="F55" s="10">
        <f t="shared" si="15"/>
        <v>-4.9632695678114676</v>
      </c>
    </row>
    <row r="56" spans="1:6" s="1" customFormat="1" ht="12.75">
      <c r="A56" s="5">
        <f t="shared" si="14"/>
        <v>32405</v>
      </c>
      <c r="B56" s="9">
        <v>88.1</v>
      </c>
      <c r="C56" s="9">
        <v>0.5133333333333333</v>
      </c>
      <c r="D56" s="10">
        <f t="shared" si="12"/>
        <v>1.0544672483214799</v>
      </c>
      <c r="E56" s="10">
        <f t="shared" si="13"/>
        <v>92.89856457712237</v>
      </c>
      <c r="F56" s="10">
        <f t="shared" si="15"/>
        <v>4.942365387651959</v>
      </c>
    </row>
    <row r="57" spans="1:6" s="1" customFormat="1" ht="12.75">
      <c r="A57" s="5">
        <f t="shared" si="14"/>
        <v>32436</v>
      </c>
      <c r="B57" s="9">
        <v>87.12</v>
      </c>
      <c r="C57" s="9">
        <v>0.515</v>
      </c>
      <c r="D57" s="10">
        <f t="shared" si="12"/>
        <v>1.060700611876181</v>
      </c>
      <c r="E57" s="10">
        <f t="shared" si="13"/>
        <v>92.4082373066529</v>
      </c>
      <c r="F57" s="10">
        <f t="shared" si="15"/>
        <v>-0.5278093076049872</v>
      </c>
    </row>
    <row r="58" spans="1:6" s="1" customFormat="1" ht="13.5" thickBot="1">
      <c r="A58" s="5">
        <f t="shared" si="14"/>
        <v>32467</v>
      </c>
      <c r="B58" s="9">
        <v>88.58</v>
      </c>
      <c r="C58" s="9">
        <v>0.5216666666666666</v>
      </c>
      <c r="D58" s="10">
        <f t="shared" si="12"/>
        <v>1.0669473058537013</v>
      </c>
      <c r="E58" s="10">
        <f t="shared" si="13"/>
        <v>94.51019235252086</v>
      </c>
      <c r="F58" s="10">
        <f t="shared" si="15"/>
        <v>2.274640342822165</v>
      </c>
    </row>
    <row r="59" spans="1:6" s="1" customFormat="1" ht="13.5" thickBot="1">
      <c r="A59" s="5">
        <f t="shared" si="14"/>
        <v>32498</v>
      </c>
      <c r="B59" s="9">
        <v>86.76</v>
      </c>
      <c r="C59" s="9">
        <v>0.525</v>
      </c>
      <c r="D59" s="10">
        <f t="shared" si="12"/>
        <v>1.0734035914181688</v>
      </c>
      <c r="E59" s="10">
        <f t="shared" si="13"/>
        <v>93.12849559144033</v>
      </c>
      <c r="F59" s="11">
        <f>((E59/E47)-1)*100</f>
        <v>20.55468684976094</v>
      </c>
    </row>
    <row r="60" spans="2:6" s="1" customFormat="1" ht="12.75">
      <c r="B60" s="9"/>
      <c r="C60" s="9"/>
      <c r="D60" s="9"/>
      <c r="E60" s="9"/>
      <c r="F60" s="9"/>
    </row>
    <row r="61" spans="1:6" s="1" customFormat="1" ht="12.75">
      <c r="A61" s="5">
        <f>A59</f>
        <v>32498</v>
      </c>
      <c r="B61" s="9">
        <f>B59</f>
        <v>86.76</v>
      </c>
      <c r="C61" s="9"/>
      <c r="D61" s="9">
        <v>1</v>
      </c>
      <c r="E61" s="9">
        <f>B61</f>
        <v>86.76</v>
      </c>
      <c r="F61" s="9"/>
    </row>
    <row r="62" spans="1:6" s="1" customFormat="1" ht="12.75">
      <c r="A62" s="5">
        <f>A61+31</f>
        <v>32529</v>
      </c>
      <c r="B62" s="9">
        <v>88.46</v>
      </c>
      <c r="C62" s="9">
        <v>0.525</v>
      </c>
      <c r="D62" s="10">
        <f aca="true" t="shared" si="16" ref="D62:D73">D61+((D61*C62)/B62)</f>
        <v>1.0059348858241013</v>
      </c>
      <c r="E62" s="10">
        <f aca="true" t="shared" si="17" ref="E62:E73">B62*D62</f>
        <v>88.985</v>
      </c>
      <c r="F62" s="10">
        <f>((E62/E61)-1)*100</f>
        <v>2.5645458736744953</v>
      </c>
    </row>
    <row r="63" spans="1:6" s="1" customFormat="1" ht="12.75">
      <c r="A63" s="5">
        <f aca="true" t="shared" si="18" ref="A63:A73">A62+31</f>
        <v>32560</v>
      </c>
      <c r="B63" s="9">
        <v>87.23</v>
      </c>
      <c r="C63" s="9">
        <v>0.5316666666666666</v>
      </c>
      <c r="D63" s="10">
        <f t="shared" si="16"/>
        <v>1.0120660568390023</v>
      </c>
      <c r="E63" s="10">
        <f t="shared" si="17"/>
        <v>88.28252213806617</v>
      </c>
      <c r="F63" s="10">
        <f aca="true" t="shared" si="19" ref="F63:F72">((E63/E62)-1)*100</f>
        <v>-0.7894340191423654</v>
      </c>
    </row>
    <row r="64" spans="1:6" s="1" customFormat="1" ht="12.75">
      <c r="A64" s="5">
        <f t="shared" si="18"/>
        <v>32591</v>
      </c>
      <c r="B64" s="9">
        <v>90.65</v>
      </c>
      <c r="C64" s="9">
        <v>0.5358333333333333</v>
      </c>
      <c r="D64" s="10">
        <f t="shared" si="16"/>
        <v>1.0180483925123567</v>
      </c>
      <c r="E64" s="10">
        <f t="shared" si="17"/>
        <v>92.28608678124515</v>
      </c>
      <c r="F64" s="10">
        <f t="shared" si="19"/>
        <v>4.534945928388567</v>
      </c>
    </row>
    <row r="65" spans="1:6" s="1" customFormat="1" ht="12.75">
      <c r="A65" s="5">
        <f t="shared" si="18"/>
        <v>32622</v>
      </c>
      <c r="B65" s="9">
        <v>95.47</v>
      </c>
      <c r="C65" s="9">
        <v>0.5358333333333333</v>
      </c>
      <c r="D65" s="10">
        <f t="shared" si="16"/>
        <v>1.0237622739793573</v>
      </c>
      <c r="E65" s="10">
        <f t="shared" si="17"/>
        <v>97.73858429680924</v>
      </c>
      <c r="F65" s="10">
        <f t="shared" si="19"/>
        <v>5.908255193969469</v>
      </c>
    </row>
    <row r="66" spans="1:6" s="1" customFormat="1" ht="12.75">
      <c r="A66" s="5">
        <f t="shared" si="18"/>
        <v>32653</v>
      </c>
      <c r="B66" s="9">
        <v>96.64</v>
      </c>
      <c r="C66" s="9">
        <v>0.5358333333333333</v>
      </c>
      <c r="D66" s="10">
        <f t="shared" si="16"/>
        <v>1.0294386600700782</v>
      </c>
      <c r="E66" s="10">
        <f t="shared" si="17"/>
        <v>99.48495210917235</v>
      </c>
      <c r="F66" s="10">
        <f t="shared" si="19"/>
        <v>1.7867742048112811</v>
      </c>
    </row>
    <row r="67" spans="1:6" s="1" customFormat="1" ht="12.75">
      <c r="A67" s="5">
        <f t="shared" si="18"/>
        <v>32684</v>
      </c>
      <c r="B67" s="9">
        <v>99.91</v>
      </c>
      <c r="C67" s="9">
        <v>0.5358333333333333</v>
      </c>
      <c r="D67" s="10">
        <f t="shared" si="16"/>
        <v>1.0349597044969379</v>
      </c>
      <c r="E67" s="10">
        <f t="shared" si="17"/>
        <v>103.40282407628906</v>
      </c>
      <c r="F67" s="10">
        <f t="shared" si="19"/>
        <v>3.9381553532008784</v>
      </c>
    </row>
    <row r="68" spans="1:6" s="1" customFormat="1" ht="12.75">
      <c r="A68" s="5">
        <f t="shared" si="18"/>
        <v>32715</v>
      </c>
      <c r="B68" s="9">
        <v>104.05</v>
      </c>
      <c r="C68" s="9">
        <v>0.5366666666666667</v>
      </c>
      <c r="D68" s="10">
        <f t="shared" si="16"/>
        <v>1.0402977955564927</v>
      </c>
      <c r="E68" s="10">
        <f t="shared" si="17"/>
        <v>108.24298562765307</v>
      </c>
      <c r="F68" s="10">
        <f t="shared" si="19"/>
        <v>4.68087945817901</v>
      </c>
    </row>
    <row r="69" spans="1:6" s="1" customFormat="1" ht="12.75">
      <c r="A69" s="5">
        <f t="shared" si="18"/>
        <v>32746</v>
      </c>
      <c r="B69" s="9">
        <v>104.8</v>
      </c>
      <c r="C69" s="9">
        <v>0.5391666666666667</v>
      </c>
      <c r="D69" s="10">
        <f t="shared" si="16"/>
        <v>1.0456498365371307</v>
      </c>
      <c r="E69" s="10">
        <f t="shared" si="17"/>
        <v>109.5841028690913</v>
      </c>
      <c r="F69" s="10">
        <f t="shared" si="19"/>
        <v>1.2389876661861088</v>
      </c>
    </row>
    <row r="70" spans="1:6" s="1" customFormat="1" ht="12.75">
      <c r="A70" s="5">
        <f t="shared" si="18"/>
        <v>32777</v>
      </c>
      <c r="B70" s="9">
        <v>106.5</v>
      </c>
      <c r="C70" s="9">
        <v>0.5391666666666667</v>
      </c>
      <c r="D70" s="10">
        <f t="shared" si="16"/>
        <v>1.050943541108645</v>
      </c>
      <c r="E70" s="10">
        <f t="shared" si="17"/>
        <v>111.92548712807069</v>
      </c>
      <c r="F70" s="10">
        <f t="shared" si="19"/>
        <v>2.1366094147582615</v>
      </c>
    </row>
    <row r="71" spans="1:6" s="1" customFormat="1" ht="12.75">
      <c r="A71" s="5">
        <f t="shared" si="18"/>
        <v>32808</v>
      </c>
      <c r="B71" s="9">
        <v>106.3</v>
      </c>
      <c r="C71" s="9">
        <v>0.54</v>
      </c>
      <c r="D71" s="10">
        <f t="shared" si="16"/>
        <v>1.0562822947511536</v>
      </c>
      <c r="E71" s="10">
        <f t="shared" si="17"/>
        <v>112.28280793204763</v>
      </c>
      <c r="F71" s="10">
        <f t="shared" si="19"/>
        <v>0.3192488262910853</v>
      </c>
    </row>
    <row r="72" spans="1:6" s="1" customFormat="1" ht="13.5" thickBot="1">
      <c r="A72" s="5">
        <f t="shared" si="18"/>
        <v>32839</v>
      </c>
      <c r="B72" s="9">
        <v>111.83</v>
      </c>
      <c r="C72" s="9">
        <v>0.545</v>
      </c>
      <c r="D72" s="10">
        <f t="shared" si="16"/>
        <v>1.0614300534083958</v>
      </c>
      <c r="E72" s="10">
        <f t="shared" si="17"/>
        <v>118.6997228726609</v>
      </c>
      <c r="F72" s="10">
        <f t="shared" si="19"/>
        <v>5.714957666980247</v>
      </c>
    </row>
    <row r="73" spans="1:8" s="1" customFormat="1" ht="13.5" thickBot="1">
      <c r="A73" s="5">
        <f t="shared" si="18"/>
        <v>32870</v>
      </c>
      <c r="B73" s="9">
        <v>117.05</v>
      </c>
      <c r="C73" s="9">
        <v>0.5483333333333333</v>
      </c>
      <c r="D73" s="10">
        <f t="shared" si="16"/>
        <v>1.0664024368281788</v>
      </c>
      <c r="E73" s="10">
        <f t="shared" si="17"/>
        <v>124.82240523073833</v>
      </c>
      <c r="F73" s="11">
        <f>((E73/E61)-1)*100</f>
        <v>43.87091428162555</v>
      </c>
      <c r="G73" s="4"/>
      <c r="H73" s="4"/>
    </row>
    <row r="74" spans="2:8" s="1" customFormat="1" ht="12.75">
      <c r="B74" s="10"/>
      <c r="C74" s="9"/>
      <c r="D74" s="9"/>
      <c r="E74" s="9"/>
      <c r="F74" s="9"/>
      <c r="G74" s="4"/>
      <c r="H74" s="4"/>
    </row>
    <row r="75" spans="1:6" s="1" customFormat="1" ht="12.75">
      <c r="A75" s="6">
        <f>DATE(89,12,31)</f>
        <v>32873</v>
      </c>
      <c r="B75" s="10">
        <v>117.05</v>
      </c>
      <c r="C75" s="9"/>
      <c r="D75" s="10">
        <v>1</v>
      </c>
      <c r="E75" s="10">
        <f>B75</f>
        <v>117.05</v>
      </c>
      <c r="F75" s="9"/>
    </row>
    <row r="76" spans="1:6" s="1" customFormat="1" ht="12.75">
      <c r="A76" s="6">
        <f>A75+31</f>
        <v>32904</v>
      </c>
      <c r="B76" s="10">
        <v>108.7</v>
      </c>
      <c r="C76" s="10">
        <f>6.58/12</f>
        <v>0.5483333333333333</v>
      </c>
      <c r="D76" s="10">
        <f aca="true" t="shared" si="20" ref="D76:D87">D75+((D75*C76)/B76)</f>
        <v>1.0050444648880712</v>
      </c>
      <c r="E76" s="10">
        <f aca="true" t="shared" si="21" ref="E76:E87">B76*D76</f>
        <v>109.24833333333335</v>
      </c>
      <c r="F76" s="10">
        <f>((E76/E75)-1)*100</f>
        <v>-6.665242773743396</v>
      </c>
    </row>
    <row r="77" spans="1:6" s="1" customFormat="1" ht="12.75">
      <c r="A77" s="6">
        <f>A76+28</f>
        <v>32932</v>
      </c>
      <c r="B77" s="10">
        <v>108.55</v>
      </c>
      <c r="C77" s="10">
        <f>6.63/12</f>
        <v>0.5525</v>
      </c>
      <c r="D77" s="10">
        <f t="shared" si="20"/>
        <v>1.0101599606674416</v>
      </c>
      <c r="E77" s="10">
        <f t="shared" si="21"/>
        <v>109.65286373045079</v>
      </c>
      <c r="F77" s="10">
        <f>((E77/E75)-1)*100</f>
        <v>-6.319637991925853</v>
      </c>
    </row>
    <row r="78" spans="1:6" s="1" customFormat="1" ht="12.75">
      <c r="A78" s="6">
        <f>A77+31</f>
        <v>32963</v>
      </c>
      <c r="B78" s="10">
        <v>107.51</v>
      </c>
      <c r="C78" s="10">
        <f>6.68/12</f>
        <v>0.5566666666666666</v>
      </c>
      <c r="D78" s="10">
        <f t="shared" si="20"/>
        <v>1.0153903799596458</v>
      </c>
      <c r="E78" s="10">
        <f t="shared" si="21"/>
        <v>109.16461974946152</v>
      </c>
      <c r="F78" s="10">
        <f>((E78/E75)-1)*100</f>
        <v>-6.736762281536501</v>
      </c>
    </row>
    <row r="79" spans="1:6" s="1" customFormat="1" ht="12.75">
      <c r="A79" s="6">
        <f>A78+30</f>
        <v>32993</v>
      </c>
      <c r="B79" s="10">
        <v>104.14</v>
      </c>
      <c r="C79" s="10">
        <f>6.68/12</f>
        <v>0.5566666666666666</v>
      </c>
      <c r="D79" s="10">
        <f t="shared" si="20"/>
        <v>1.0208180156248805</v>
      </c>
      <c r="E79" s="10">
        <f t="shared" si="21"/>
        <v>106.30798814717505</v>
      </c>
      <c r="F79" s="10">
        <f>((E79/E75)-1)*100</f>
        <v>-9.177284795237028</v>
      </c>
    </row>
    <row r="80" spans="1:6" s="1" customFormat="1" ht="12.75">
      <c r="A80" s="6">
        <f>A79+31</f>
        <v>33024</v>
      </c>
      <c r="B80" s="10">
        <v>106.18</v>
      </c>
      <c r="C80" s="10">
        <f>6.68/12</f>
        <v>0.5566666666666666</v>
      </c>
      <c r="D80" s="10">
        <f t="shared" si="20"/>
        <v>1.0261698272846205</v>
      </c>
      <c r="E80" s="10">
        <f t="shared" si="21"/>
        <v>108.958712261081</v>
      </c>
      <c r="F80" s="10">
        <f>((E80/E75)-1)*100</f>
        <v>-6.9126764108662915</v>
      </c>
    </row>
    <row r="81" spans="1:6" s="1" customFormat="1" ht="12.75">
      <c r="A81" s="6">
        <f>A80+30</f>
        <v>33054</v>
      </c>
      <c r="B81" s="10">
        <v>107.14</v>
      </c>
      <c r="C81" s="10">
        <f>6.68/12</f>
        <v>0.5566666666666666</v>
      </c>
      <c r="D81" s="10">
        <f t="shared" si="20"/>
        <v>1.0315014918094332</v>
      </c>
      <c r="E81" s="10">
        <f t="shared" si="21"/>
        <v>110.51506983246267</v>
      </c>
      <c r="F81" s="10">
        <f>((E81/E75)-1)*100</f>
        <v>-5.5830244917021155</v>
      </c>
    </row>
    <row r="82" spans="1:6" s="1" customFormat="1" ht="12.75">
      <c r="A82" s="6">
        <f>A81+31</f>
        <v>33085</v>
      </c>
      <c r="B82" s="10">
        <v>102.86</v>
      </c>
      <c r="C82" s="10">
        <f>6.68/12</f>
        <v>0.5566666666666666</v>
      </c>
      <c r="D82" s="10">
        <f t="shared" si="20"/>
        <v>1.0370838610210533</v>
      </c>
      <c r="E82" s="10">
        <f t="shared" si="21"/>
        <v>106.67444594462555</v>
      </c>
      <c r="F82" s="10">
        <f>((E82/E75)-1)*100</f>
        <v>-8.864206796560826</v>
      </c>
    </row>
    <row r="83" spans="1:6" s="1" customFormat="1" ht="12.75">
      <c r="A83" s="6">
        <f>A82+31</f>
        <v>33116</v>
      </c>
      <c r="B83" s="10">
        <v>100.83</v>
      </c>
      <c r="C83" s="10">
        <f>6.72/12</f>
        <v>0.5599999999999999</v>
      </c>
      <c r="D83" s="10">
        <f t="shared" si="20"/>
        <v>1.0428437237818566</v>
      </c>
      <c r="E83" s="10">
        <f t="shared" si="21"/>
        <v>105.1499326689246</v>
      </c>
      <c r="F83" s="10">
        <f>((E83/E75)-1)*100</f>
        <v>-10.166652995365567</v>
      </c>
    </row>
    <row r="84" spans="1:6" s="1" customFormat="1" ht="12.75">
      <c r="A84" s="6">
        <f>A83+30</f>
        <v>33146</v>
      </c>
      <c r="B84" s="12">
        <v>105.58</v>
      </c>
      <c r="C84" s="12">
        <f>6.72/12</f>
        <v>0.5599999999999999</v>
      </c>
      <c r="D84" s="10">
        <f t="shared" si="20"/>
        <v>1.0483750032412036</v>
      </c>
      <c r="E84" s="10">
        <f t="shared" si="21"/>
        <v>110.68743284220628</v>
      </c>
      <c r="F84" s="10">
        <f>((E84/E75)-1)*100</f>
        <v>-5.435768609819491</v>
      </c>
    </row>
    <row r="85" spans="1:6" s="1" customFormat="1" ht="12.75">
      <c r="A85" s="6">
        <f>A84+31</f>
        <v>33177</v>
      </c>
      <c r="B85" s="12">
        <v>108</v>
      </c>
      <c r="C85" s="12">
        <f>6.73/12</f>
        <v>0.5608333333333334</v>
      </c>
      <c r="D85" s="10">
        <f t="shared" si="20"/>
        <v>1.053819111089825</v>
      </c>
      <c r="E85" s="10">
        <f t="shared" si="21"/>
        <v>113.8124639977011</v>
      </c>
      <c r="F85" s="10">
        <f>((E85/E75)-1)*100</f>
        <v>-2.7659427614685095</v>
      </c>
    </row>
    <row r="86" spans="1:6" s="1" customFormat="1" ht="13.5" thickBot="1">
      <c r="A86" s="6">
        <f>A85+30</f>
        <v>33207</v>
      </c>
      <c r="B86" s="12">
        <v>109.37</v>
      </c>
      <c r="C86" s="12">
        <f>6.8/12</f>
        <v>0.5666666666666668</v>
      </c>
      <c r="D86" s="10">
        <f t="shared" si="20"/>
        <v>1.0592791473241754</v>
      </c>
      <c r="E86" s="10">
        <f t="shared" si="21"/>
        <v>115.85336034284506</v>
      </c>
      <c r="F86" s="10">
        <f>((E86/E75)-1)*100</f>
        <v>-1.0223320437034888</v>
      </c>
    </row>
    <row r="87" spans="1:6" s="1" customFormat="1" ht="13.5" thickBot="1">
      <c r="A87" s="6">
        <f>A86+31</f>
        <v>33238</v>
      </c>
      <c r="B87" s="12">
        <v>108.86</v>
      </c>
      <c r="C87" s="12">
        <f>6.84/12</f>
        <v>0.57</v>
      </c>
      <c r="D87" s="10">
        <f t="shared" si="20"/>
        <v>1.0648256209046896</v>
      </c>
      <c r="E87" s="10">
        <f t="shared" si="21"/>
        <v>115.91691709168451</v>
      </c>
      <c r="F87" s="11">
        <f>((E87/E75)-1)*100</f>
        <v>-0.9680332407650427</v>
      </c>
    </row>
    <row r="88" spans="2:6" s="1" customFormat="1" ht="12.75">
      <c r="B88" s="12"/>
      <c r="C88" s="12"/>
      <c r="D88" s="9"/>
      <c r="E88" s="9"/>
      <c r="F88" s="9"/>
    </row>
    <row r="89" spans="1:6" s="1" customFormat="1" ht="12.75">
      <c r="A89" s="6">
        <f>DATE(90,12,31)</f>
        <v>33238</v>
      </c>
      <c r="B89" s="12">
        <v>108.86</v>
      </c>
      <c r="C89" s="12"/>
      <c r="D89" s="10">
        <v>1</v>
      </c>
      <c r="E89" s="10">
        <f>B89</f>
        <v>108.86</v>
      </c>
      <c r="F89" s="9"/>
    </row>
    <row r="90" spans="1:6" s="1" customFormat="1" ht="12.75">
      <c r="A90" s="6">
        <f>A89+31</f>
        <v>33269</v>
      </c>
      <c r="B90" s="12">
        <v>106.89</v>
      </c>
      <c r="C90" s="12">
        <f>6.84/12</f>
        <v>0.57</v>
      </c>
      <c r="D90" s="10">
        <f aca="true" t="shared" si="22" ref="D90:D101">D89+((D89*C90)/B90)</f>
        <v>1.005332584900365</v>
      </c>
      <c r="E90" s="10">
        <f aca="true" t="shared" si="23" ref="E90:E101">B90*D90</f>
        <v>107.46000000000001</v>
      </c>
      <c r="F90" s="10">
        <f>((E90/E89)-1)*100</f>
        <v>-1.2860554841080174</v>
      </c>
    </row>
    <row r="91" spans="1:6" s="1" customFormat="1" ht="12.75">
      <c r="A91" s="6">
        <f>A90+28</f>
        <v>33297</v>
      </c>
      <c r="B91" s="12">
        <v>108.26</v>
      </c>
      <c r="C91" s="12">
        <f>6.9/12</f>
        <v>0.5750000000000001</v>
      </c>
      <c r="D91" s="10">
        <f t="shared" si="22"/>
        <v>1.0106721954335047</v>
      </c>
      <c r="E91" s="10">
        <f t="shared" si="23"/>
        <v>109.41537187763123</v>
      </c>
      <c r="F91" s="10">
        <f>((E91/E89)-1)*100</f>
        <v>0.5101707492478624</v>
      </c>
    </row>
    <row r="92" spans="1:6" s="1" customFormat="1" ht="12.75">
      <c r="A92" s="6">
        <f>A91+31</f>
        <v>33328</v>
      </c>
      <c r="B92" s="12">
        <v>110.12</v>
      </c>
      <c r="C92" s="12">
        <f aca="true" t="shared" si="24" ref="C92:C98">6.94/12</f>
        <v>0.5783333333333334</v>
      </c>
      <c r="D92" s="10">
        <f t="shared" si="22"/>
        <v>1.015980090635942</v>
      </c>
      <c r="E92" s="10">
        <f t="shared" si="23"/>
        <v>111.87972758082994</v>
      </c>
      <c r="F92" s="10">
        <f>((E92/E89)-1)*100</f>
        <v>2.7739551541704266</v>
      </c>
    </row>
    <row r="93" spans="1:6" s="1" customFormat="1" ht="12.75">
      <c r="A93" s="6">
        <f>A92+30</f>
        <v>33358</v>
      </c>
      <c r="B93" s="12">
        <v>112.07</v>
      </c>
      <c r="C93" s="12">
        <f t="shared" si="24"/>
        <v>0.5783333333333334</v>
      </c>
      <c r="D93" s="10">
        <f t="shared" si="22"/>
        <v>1.0212230205227786</v>
      </c>
      <c r="E93" s="10">
        <f t="shared" si="23"/>
        <v>114.4484639099878</v>
      </c>
      <c r="F93" s="10">
        <f>((E93/E89)-1)*100</f>
        <v>5.133624756556854</v>
      </c>
    </row>
    <row r="94" spans="1:6" s="1" customFormat="1" ht="12.75">
      <c r="A94" s="6">
        <f>A93+31</f>
        <v>33389</v>
      </c>
      <c r="B94" s="12">
        <v>114.84</v>
      </c>
      <c r="C94" s="12">
        <f t="shared" si="24"/>
        <v>0.5783333333333334</v>
      </c>
      <c r="D94" s="10">
        <f t="shared" si="22"/>
        <v>1.0263658915915324</v>
      </c>
      <c r="E94" s="10">
        <f t="shared" si="23"/>
        <v>117.86785899037157</v>
      </c>
      <c r="F94" s="10">
        <f>((E94/E89)-1)*100</f>
        <v>8.27471889617084</v>
      </c>
    </row>
    <row r="95" spans="1:6" s="1" customFormat="1" ht="12.75">
      <c r="A95" s="6">
        <f>A94+30</f>
        <v>33419</v>
      </c>
      <c r="B95" s="12">
        <v>111.1</v>
      </c>
      <c r="C95" s="12">
        <f t="shared" si="24"/>
        <v>0.5783333333333334</v>
      </c>
      <c r="D95" s="10">
        <f t="shared" si="22"/>
        <v>1.0317086603341405</v>
      </c>
      <c r="E95" s="10">
        <f t="shared" si="23"/>
        <v>114.62283216312301</v>
      </c>
      <c r="F95" s="10">
        <f>((E95/E89)-1)*100</f>
        <v>5.293801362413197</v>
      </c>
    </row>
    <row r="96" spans="1:6" s="1" customFormat="1" ht="12.75">
      <c r="A96" s="6">
        <f>A95+31</f>
        <v>33450</v>
      </c>
      <c r="B96" s="12">
        <v>116.21</v>
      </c>
      <c r="C96" s="12">
        <f t="shared" si="24"/>
        <v>0.5783333333333334</v>
      </c>
      <c r="D96" s="10">
        <f t="shared" si="22"/>
        <v>1.0368430851561001</v>
      </c>
      <c r="E96" s="10">
        <f t="shared" si="23"/>
        <v>120.4915349259904</v>
      </c>
      <c r="F96" s="10">
        <f>((E96/E89)-1)*100</f>
        <v>10.684856628688589</v>
      </c>
    </row>
    <row r="97" spans="1:6" s="1" customFormat="1" ht="12.75">
      <c r="A97" s="6">
        <f>A96+31</f>
        <v>33481</v>
      </c>
      <c r="B97" s="12">
        <v>117.21</v>
      </c>
      <c r="C97" s="12">
        <f t="shared" si="24"/>
        <v>0.5783333333333334</v>
      </c>
      <c r="D97" s="10">
        <f t="shared" si="22"/>
        <v>1.041959038723048</v>
      </c>
      <c r="E97" s="10">
        <f t="shared" si="23"/>
        <v>122.12801892872845</v>
      </c>
      <c r="F97" s="10">
        <f>((E97/E89)-1)*100</f>
        <v>12.188148933243115</v>
      </c>
    </row>
    <row r="98" spans="1:6" s="1" customFormat="1" ht="12.75">
      <c r="A98" s="6">
        <f>A97+30</f>
        <v>33511</v>
      </c>
      <c r="B98" s="12">
        <v>121.79</v>
      </c>
      <c r="C98" s="12">
        <f t="shared" si="24"/>
        <v>0.5783333333333334</v>
      </c>
      <c r="D98" s="10">
        <f t="shared" si="22"/>
        <v>1.0469068968728263</v>
      </c>
      <c r="E98" s="10">
        <f t="shared" si="23"/>
        <v>127.50279097014153</v>
      </c>
      <c r="F98" s="10">
        <f>((E98/E89)-1)*100</f>
        <v>17.12547397587869</v>
      </c>
    </row>
    <row r="99" spans="1:6" s="1" customFormat="1" ht="12.75">
      <c r="A99" s="6">
        <f>A98+31</f>
        <v>33542</v>
      </c>
      <c r="B99" s="12">
        <v>123.56</v>
      </c>
      <c r="C99" s="12">
        <f>6.96/12</f>
        <v>0.58</v>
      </c>
      <c r="D99" s="10">
        <f t="shared" si="22"/>
        <v>1.051821157152741</v>
      </c>
      <c r="E99" s="10">
        <f t="shared" si="23"/>
        <v>129.96302217779268</v>
      </c>
      <c r="F99" s="10">
        <f>((E99/E89)-1)*100</f>
        <v>19.38546957357403</v>
      </c>
    </row>
    <row r="100" spans="1:6" s="1" customFormat="1" ht="13.5" thickBot="1">
      <c r="A100" s="6">
        <f>A99+30</f>
        <v>33572</v>
      </c>
      <c r="B100" s="12">
        <v>124.76</v>
      </c>
      <c r="C100" s="12">
        <f>6.96/12</f>
        <v>0.58</v>
      </c>
      <c r="D100" s="10">
        <f t="shared" si="22"/>
        <v>1.0567109958121557</v>
      </c>
      <c r="E100" s="10">
        <f t="shared" si="23"/>
        <v>131.83526383752454</v>
      </c>
      <c r="F100" s="10">
        <f>((E100/E89)-1)*100</f>
        <v>21.105331469340925</v>
      </c>
    </row>
    <row r="101" spans="1:6" s="1" customFormat="1" ht="13.5" thickBot="1">
      <c r="A101" s="6">
        <f>A100+31</f>
        <v>33603</v>
      </c>
      <c r="B101" s="12">
        <v>124.32</v>
      </c>
      <c r="C101" s="12">
        <f>6.99/12</f>
        <v>0.5825</v>
      </c>
      <c r="D101" s="10">
        <f t="shared" si="22"/>
        <v>1.061662203623132</v>
      </c>
      <c r="E101" s="10">
        <f t="shared" si="23"/>
        <v>131.98584515442778</v>
      </c>
      <c r="F101" s="11">
        <f>((E101/E89)-1)*100</f>
        <v>21.243657132489236</v>
      </c>
    </row>
    <row r="102" spans="2:6" s="1" customFormat="1" ht="12.75">
      <c r="B102" s="12"/>
      <c r="C102" s="12"/>
      <c r="D102" s="9"/>
      <c r="E102" s="9"/>
      <c r="F102" s="9"/>
    </row>
    <row r="103" spans="1:6" s="1" customFormat="1" ht="12.75">
      <c r="A103" s="6">
        <f>DATE(91,12,31)</f>
        <v>33603</v>
      </c>
      <c r="B103" s="12">
        <v>124.32</v>
      </c>
      <c r="C103" s="12"/>
      <c r="D103" s="10">
        <v>1</v>
      </c>
      <c r="E103" s="10">
        <f>B103</f>
        <v>124.32</v>
      </c>
      <c r="F103" s="9"/>
    </row>
    <row r="104" spans="1:6" s="1" customFormat="1" ht="12.75">
      <c r="A104" s="6">
        <f>A103+31</f>
        <v>33634</v>
      </c>
      <c r="B104" s="12">
        <v>124.82</v>
      </c>
      <c r="C104" s="12">
        <f>6.99/12</f>
        <v>0.5825</v>
      </c>
      <c r="D104" s="10">
        <f aca="true" t="shared" si="25" ref="D104:D115">D103+((D103*C104)/B104)</f>
        <v>1.0046667200769108</v>
      </c>
      <c r="E104" s="10">
        <f aca="true" t="shared" si="26" ref="E104:E115">B104*D104</f>
        <v>125.4025</v>
      </c>
      <c r="F104" s="10">
        <f>((E104/E103)-1)*100</f>
        <v>0.8707368082368161</v>
      </c>
    </row>
    <row r="105" spans="1:6" s="1" customFormat="1" ht="12.75">
      <c r="A105" s="6">
        <f>A104+29</f>
        <v>33663</v>
      </c>
      <c r="B105" s="12">
        <v>122.94</v>
      </c>
      <c r="C105" s="12">
        <f>7.02/12</f>
        <v>0.5850000000000001</v>
      </c>
      <c r="D105" s="10">
        <f t="shared" si="25"/>
        <v>1.0094473450260324</v>
      </c>
      <c r="E105" s="10">
        <f t="shared" si="26"/>
        <v>124.10145659750042</v>
      </c>
      <c r="F105" s="10">
        <f>((E105/E103)-1)*100</f>
        <v>-0.17579102517661926</v>
      </c>
    </row>
    <row r="106" spans="1:6" s="1" customFormat="1" ht="12.75">
      <c r="A106" s="6">
        <f>A105+31</f>
        <v>33694</v>
      </c>
      <c r="B106" s="12">
        <v>118.83</v>
      </c>
      <c r="C106" s="12">
        <f>7.05/12</f>
        <v>0.5875</v>
      </c>
      <c r="D106" s="10">
        <f t="shared" si="25"/>
        <v>1.014438090756932</v>
      </c>
      <c r="E106" s="10">
        <f t="shared" si="26"/>
        <v>120.54567832464622</v>
      </c>
      <c r="F106" s="10">
        <f>((E106/E103)-1)*100</f>
        <v>-3.035973033585726</v>
      </c>
    </row>
    <row r="107" spans="1:6" s="1" customFormat="1" ht="12.75">
      <c r="A107" s="6">
        <f>A106+30</f>
        <v>33724</v>
      </c>
      <c r="B107" s="12">
        <v>118.84</v>
      </c>
      <c r="C107" s="12">
        <f>7.05/12</f>
        <v>0.5875</v>
      </c>
      <c r="D107" s="10">
        <f t="shared" si="25"/>
        <v>1.0194530888915643</v>
      </c>
      <c r="E107" s="10">
        <f t="shared" si="26"/>
        <v>121.1518050838735</v>
      </c>
      <c r="F107" s="10">
        <f>((E107/E103)-1)*100</f>
        <v>-2.548419334078589</v>
      </c>
    </row>
    <row r="108" spans="1:6" s="1" customFormat="1" ht="12.75">
      <c r="A108" s="6">
        <f>A107+31</f>
        <v>33755</v>
      </c>
      <c r="B108" s="12">
        <v>125.13</v>
      </c>
      <c r="C108" s="12">
        <f>7.08/12</f>
        <v>0.59</v>
      </c>
      <c r="D108" s="10">
        <f t="shared" si="25"/>
        <v>1.0242599083788657</v>
      </c>
      <c r="E108" s="10">
        <f t="shared" si="26"/>
        <v>128.16564233544747</v>
      </c>
      <c r="F108" s="10">
        <f>((E108/E103)-1)*100</f>
        <v>3.0933416469172137</v>
      </c>
    </row>
    <row r="109" spans="1:6" s="1" customFormat="1" ht="12.75">
      <c r="A109" s="6">
        <f>A108+30</f>
        <v>33785</v>
      </c>
      <c r="B109" s="12">
        <v>129.16</v>
      </c>
      <c r="C109" s="12">
        <f>7.08/12</f>
        <v>0.59</v>
      </c>
      <c r="D109" s="10">
        <f t="shared" si="25"/>
        <v>1.0289387048014698</v>
      </c>
      <c r="E109" s="10">
        <f t="shared" si="26"/>
        <v>132.89772311215782</v>
      </c>
      <c r="F109" s="10">
        <f>((E109/E103)-1)*100</f>
        <v>6.899712928054891</v>
      </c>
    </row>
    <row r="110" spans="1:6" s="1" customFormat="1" ht="12.75">
      <c r="A110" s="6">
        <f>A109+31</f>
        <v>33816</v>
      </c>
      <c r="B110" s="12">
        <v>137.53</v>
      </c>
      <c r="C110" s="12">
        <f>7.11/12</f>
        <v>0.5925</v>
      </c>
      <c r="D110" s="10">
        <f t="shared" si="25"/>
        <v>1.0333715280589035</v>
      </c>
      <c r="E110" s="10">
        <f t="shared" si="26"/>
        <v>142.119586253941</v>
      </c>
      <c r="F110" s="10">
        <f>((E110/E103)-1)*100</f>
        <v>14.317556510570316</v>
      </c>
    </row>
    <row r="111" spans="1:6" s="1" customFormat="1" ht="12.75">
      <c r="A111" s="6">
        <f>A110+31</f>
        <v>33847</v>
      </c>
      <c r="B111" s="12">
        <v>139.53</v>
      </c>
      <c r="C111" s="12">
        <f>7.11/12</f>
        <v>0.5925</v>
      </c>
      <c r="D111" s="10">
        <f t="shared" si="25"/>
        <v>1.0377596354936838</v>
      </c>
      <c r="E111" s="10">
        <f t="shared" si="26"/>
        <v>144.79860194043368</v>
      </c>
      <c r="F111" s="10">
        <f>((E111/E103)-1)*100</f>
        <v>16.47249190832827</v>
      </c>
    </row>
    <row r="112" spans="1:6" s="1" customFormat="1" ht="12.75">
      <c r="A112" s="6">
        <f>A111+30</f>
        <v>33877</v>
      </c>
      <c r="B112" s="12">
        <v>141.72</v>
      </c>
      <c r="C112" s="12">
        <f>7.11/12</f>
        <v>0.5925</v>
      </c>
      <c r="D112" s="10">
        <f t="shared" si="25"/>
        <v>1.042098279185682</v>
      </c>
      <c r="E112" s="10">
        <f t="shared" si="26"/>
        <v>147.68616812619487</v>
      </c>
      <c r="F112" s="10">
        <f>((E112/E103)-1)*100</f>
        <v>18.795180281688296</v>
      </c>
    </row>
    <row r="113" spans="1:6" s="1" customFormat="1" ht="12.75">
      <c r="A113" s="6">
        <f>A112+31</f>
        <v>33908</v>
      </c>
      <c r="B113" s="12">
        <v>136.99</v>
      </c>
      <c r="C113" s="12">
        <f>7.11/12</f>
        <v>0.5925</v>
      </c>
      <c r="D113" s="10">
        <f t="shared" si="25"/>
        <v>1.046605493072955</v>
      </c>
      <c r="E113" s="10">
        <f t="shared" si="26"/>
        <v>143.3744864960641</v>
      </c>
      <c r="F113" s="10">
        <f>((E113/E103)-1)*100</f>
        <v>15.326967902239463</v>
      </c>
    </row>
    <row r="114" spans="1:6" s="1" customFormat="1" ht="13.5" thickBot="1">
      <c r="A114" s="6">
        <f>A113+30</f>
        <v>33938</v>
      </c>
      <c r="B114" s="12">
        <v>135.85</v>
      </c>
      <c r="C114" s="12">
        <f>7.11/12</f>
        <v>0.5925</v>
      </c>
      <c r="D114" s="10">
        <f t="shared" si="25"/>
        <v>1.0511701876231627</v>
      </c>
      <c r="E114" s="10">
        <f t="shared" si="26"/>
        <v>142.80146998860664</v>
      </c>
      <c r="F114" s="10">
        <f>((E114/E103)-1)*100</f>
        <v>14.866047288132766</v>
      </c>
    </row>
    <row r="115" spans="1:6" s="1" customFormat="1" ht="13.5" thickBot="1">
      <c r="A115" s="6">
        <f>A114+31</f>
        <v>33969</v>
      </c>
      <c r="B115" s="12">
        <v>138.79</v>
      </c>
      <c r="C115" s="12">
        <f>7.14/12</f>
        <v>0.5950000000000001</v>
      </c>
      <c r="D115" s="10">
        <f t="shared" si="25"/>
        <v>1.0556766092791594</v>
      </c>
      <c r="E115" s="10">
        <f t="shared" si="26"/>
        <v>146.51735660185452</v>
      </c>
      <c r="F115" s="11">
        <f>((E115/E103)-1)*100</f>
        <v>17.855016571633307</v>
      </c>
    </row>
    <row r="116" spans="2:6" s="1" customFormat="1" ht="12.75">
      <c r="B116" s="12"/>
      <c r="C116" s="12"/>
      <c r="D116" s="9"/>
      <c r="E116" s="9"/>
      <c r="F116" s="9"/>
    </row>
    <row r="117" spans="1:6" s="1" customFormat="1" ht="12.75">
      <c r="A117" s="6">
        <f>DATE(92,12,31)</f>
        <v>33969</v>
      </c>
      <c r="B117" s="12">
        <f>B115</f>
        <v>138.79</v>
      </c>
      <c r="C117" s="12"/>
      <c r="D117" s="10">
        <v>1</v>
      </c>
      <c r="E117" s="10">
        <f>B117</f>
        <v>138.79</v>
      </c>
      <c r="F117" s="9"/>
    </row>
    <row r="118" spans="1:6" s="1" customFormat="1" ht="12.75">
      <c r="A118" s="6">
        <f>A117+31</f>
        <v>34000</v>
      </c>
      <c r="B118" s="12">
        <v>141.38</v>
      </c>
      <c r="C118" s="12">
        <f>7.14/12</f>
        <v>0.5950000000000001</v>
      </c>
      <c r="D118" s="10">
        <f aca="true" t="shared" si="27" ref="D118:D129">D117+((D117*C118)/B118)</f>
        <v>1.0042085160560192</v>
      </c>
      <c r="E118" s="10">
        <f aca="true" t="shared" si="28" ref="E118:E129">B118*D118</f>
        <v>141.975</v>
      </c>
      <c r="F118" s="10">
        <f>((E118/E117)-1)*100</f>
        <v>2.294833921752293</v>
      </c>
    </row>
    <row r="119" spans="1:6" s="1" customFormat="1" ht="12.75">
      <c r="A119" s="6">
        <f>A118+28</f>
        <v>34028</v>
      </c>
      <c r="B119" s="12">
        <v>149.95</v>
      </c>
      <c r="C119" s="12">
        <f>7.17/12</f>
        <v>0.5975</v>
      </c>
      <c r="D119" s="10">
        <f t="shared" si="27"/>
        <v>1.0082099471219976</v>
      </c>
      <c r="E119" s="10">
        <f t="shared" si="28"/>
        <v>151.18108157094352</v>
      </c>
      <c r="F119" s="10">
        <f>((E119/E117)-1)*100</f>
        <v>8.927935421099154</v>
      </c>
    </row>
    <row r="120" spans="1:6" s="1" customFormat="1" ht="12.75">
      <c r="A120" s="6">
        <f>A119+31</f>
        <v>34059</v>
      </c>
      <c r="B120" s="12">
        <v>154.64</v>
      </c>
      <c r="C120" s="12">
        <f>7.17/12</f>
        <v>0.5975</v>
      </c>
      <c r="D120" s="10">
        <f t="shared" si="27"/>
        <v>1.0121054815465023</v>
      </c>
      <c r="E120" s="10">
        <f t="shared" si="28"/>
        <v>156.5119916663511</v>
      </c>
      <c r="F120" s="10">
        <f>((E120/E117)-1)*100</f>
        <v>12.76892547471078</v>
      </c>
    </row>
    <row r="121" spans="1:6" s="1" customFormat="1" ht="12.75">
      <c r="A121" s="6">
        <f>A120+30</f>
        <v>34089</v>
      </c>
      <c r="B121" s="12">
        <v>149.52</v>
      </c>
      <c r="C121" s="12">
        <f>7.22/12</f>
        <v>0.6016666666666667</v>
      </c>
      <c r="D121" s="10">
        <f t="shared" si="27"/>
        <v>1.0161781817297362</v>
      </c>
      <c r="E121" s="10">
        <f t="shared" si="28"/>
        <v>151.93896173223015</v>
      </c>
      <c r="F121" s="10">
        <f>((E121/E117)-1)*100</f>
        <v>9.473997933734534</v>
      </c>
    </row>
    <row r="122" spans="1:6" s="1" customFormat="1" ht="12.75">
      <c r="A122" s="6">
        <f>A121+31</f>
        <v>34120</v>
      </c>
      <c r="B122" s="12">
        <v>150.29</v>
      </c>
      <c r="C122" s="12">
        <f>7.22/12</f>
        <v>0.6016666666666667</v>
      </c>
      <c r="D122" s="10">
        <f t="shared" si="27"/>
        <v>1.0202463202575207</v>
      </c>
      <c r="E122" s="10">
        <f t="shared" si="28"/>
        <v>153.33281947150277</v>
      </c>
      <c r="F122" s="10">
        <f>((E122/E117)-1)*100</f>
        <v>10.478290562362403</v>
      </c>
    </row>
    <row r="123" spans="1:6" s="1" customFormat="1" ht="12.75">
      <c r="A123" s="6">
        <f>A122+30</f>
        <v>34150</v>
      </c>
      <c r="B123" s="12">
        <v>154.88</v>
      </c>
      <c r="C123" s="12">
        <f>7.22/12</f>
        <v>0.6016666666666667</v>
      </c>
      <c r="D123" s="10">
        <f t="shared" si="27"/>
        <v>1.0242096996653738</v>
      </c>
      <c r="E123" s="10">
        <f t="shared" si="28"/>
        <v>158.62959828417308</v>
      </c>
      <c r="F123" s="10">
        <f>((E123/E117)-1)*100</f>
        <v>14.294688582875636</v>
      </c>
    </row>
    <row r="124" spans="1:6" s="1" customFormat="1" ht="12.75">
      <c r="A124" s="6">
        <f>A123+31</f>
        <v>34181</v>
      </c>
      <c r="B124" s="12">
        <v>160.66</v>
      </c>
      <c r="C124" s="12">
        <f>7.26/12</f>
        <v>0.605</v>
      </c>
      <c r="D124" s="10">
        <f t="shared" si="27"/>
        <v>1.02806658294869</v>
      </c>
      <c r="E124" s="10">
        <f t="shared" si="28"/>
        <v>165.16917721653653</v>
      </c>
      <c r="F124" s="10">
        <f>((E124/E117)-1)*100</f>
        <v>19.00654025256614</v>
      </c>
    </row>
    <row r="125" spans="1:6" s="1" customFormat="1" ht="12.75">
      <c r="A125" s="6">
        <f>A124+31</f>
        <v>34212</v>
      </c>
      <c r="B125" s="12">
        <v>159.91</v>
      </c>
      <c r="C125" s="12">
        <f>7.26/12</f>
        <v>0.605</v>
      </c>
      <c r="D125" s="10">
        <f t="shared" si="27"/>
        <v>1.0319561475955785</v>
      </c>
      <c r="E125" s="10">
        <f t="shared" si="28"/>
        <v>165.02010756200895</v>
      </c>
      <c r="F125" s="10">
        <f>((E125/E117)-1)*100</f>
        <v>18.899133627789432</v>
      </c>
    </row>
    <row r="126" spans="1:6" s="1" customFormat="1" ht="12.75">
      <c r="A126" s="6">
        <f>A125+30</f>
        <v>34242</v>
      </c>
      <c r="B126" s="12">
        <v>157.08</v>
      </c>
      <c r="C126" s="12">
        <f>7.26/12</f>
        <v>0.605</v>
      </c>
      <c r="D126" s="10">
        <f t="shared" si="27"/>
        <v>1.035930768612228</v>
      </c>
      <c r="E126" s="10">
        <f t="shared" si="28"/>
        <v>162.7240051336088</v>
      </c>
      <c r="F126" s="10">
        <f>((E126/E117)-1)*100</f>
        <v>17.24476196671865</v>
      </c>
    </row>
    <row r="127" spans="1:6" s="1" customFormat="1" ht="12.75">
      <c r="A127" s="6">
        <f>A126+31</f>
        <v>34273</v>
      </c>
      <c r="B127" s="12">
        <v>156.75</v>
      </c>
      <c r="C127" s="12">
        <f>7.27/12</f>
        <v>0.6058333333333333</v>
      </c>
      <c r="D127" s="10">
        <f t="shared" si="27"/>
        <v>1.0399346052352003</v>
      </c>
      <c r="E127" s="10">
        <f t="shared" si="28"/>
        <v>163.00974937061764</v>
      </c>
      <c r="F127" s="10">
        <f>((E127/E117)-1)*100</f>
        <v>17.45064440566153</v>
      </c>
    </row>
    <row r="128" spans="1:6" s="1" customFormat="1" ht="13.5" thickBot="1">
      <c r="A128" s="6">
        <f>A127+30</f>
        <v>34303</v>
      </c>
      <c r="B128" s="12">
        <v>149.91</v>
      </c>
      <c r="C128" s="12">
        <f>7.27/12</f>
        <v>0.6058333333333333</v>
      </c>
      <c r="D128" s="10">
        <f t="shared" si="27"/>
        <v>1.044137307178622</v>
      </c>
      <c r="E128" s="10">
        <f t="shared" si="28"/>
        <v>156.5266237191472</v>
      </c>
      <c r="F128" s="10">
        <f>((E128/E117)-1)*100</f>
        <v>12.779468059044042</v>
      </c>
    </row>
    <row r="129" spans="1:6" s="1" customFormat="1" ht="13.5" thickBot="1">
      <c r="A129" s="6">
        <f>A128+31</f>
        <v>34334</v>
      </c>
      <c r="B129" s="12">
        <v>154.06</v>
      </c>
      <c r="C129" s="12">
        <f>7.3/12</f>
        <v>0.6083333333333333</v>
      </c>
      <c r="D129" s="10">
        <f t="shared" si="27"/>
        <v>1.0482602691968854</v>
      </c>
      <c r="E129" s="10">
        <f t="shared" si="28"/>
        <v>161.49497707247218</v>
      </c>
      <c r="F129" s="11">
        <f>((E129/E117)-1)*100</f>
        <v>16.359231264840535</v>
      </c>
    </row>
    <row r="130" spans="2:6" s="1" customFormat="1" ht="12.75">
      <c r="B130" s="12"/>
      <c r="C130" s="12"/>
      <c r="D130" s="9"/>
      <c r="E130" s="9"/>
      <c r="F130" s="9"/>
    </row>
    <row r="131" spans="1:6" s="1" customFormat="1" ht="12.75">
      <c r="A131" s="6">
        <f>DATE(93,12,31)</f>
        <v>34334</v>
      </c>
      <c r="B131" s="12">
        <f>B129</f>
        <v>154.06</v>
      </c>
      <c r="C131" s="12"/>
      <c r="D131" s="10">
        <v>1</v>
      </c>
      <c r="E131" s="10">
        <f>B131</f>
        <v>154.06</v>
      </c>
      <c r="F131" s="9"/>
    </row>
    <row r="132" spans="1:6" s="1" customFormat="1" ht="12.75">
      <c r="A132" s="6">
        <f>A131+31</f>
        <v>34365</v>
      </c>
      <c r="B132" s="12">
        <v>153.94</v>
      </c>
      <c r="C132" s="12">
        <f>7.3/12</f>
        <v>0.6083333333333333</v>
      </c>
      <c r="D132" s="10">
        <f aca="true" t="shared" si="29" ref="D132:D143">D131+((D131*C132)/B132)</f>
        <v>1.0039517560954485</v>
      </c>
      <c r="E132" s="10">
        <f aca="true" t="shared" si="30" ref="E132:E143">B132*D132</f>
        <v>154.54833333333335</v>
      </c>
      <c r="F132" s="10">
        <f>((E132/E131)-1)*100</f>
        <v>0.31697606992946437</v>
      </c>
    </row>
    <row r="133" spans="1:6" s="1" customFormat="1" ht="12.75">
      <c r="A133" s="6">
        <f>A132+28</f>
        <v>34393</v>
      </c>
      <c r="B133" s="12">
        <v>147.37</v>
      </c>
      <c r="C133" s="12">
        <f>7.32/12</f>
        <v>0.61</v>
      </c>
      <c r="D133" s="10">
        <f t="shared" si="29"/>
        <v>1.0081073547330153</v>
      </c>
      <c r="E133" s="10">
        <f t="shared" si="30"/>
        <v>148.56478086700446</v>
      </c>
      <c r="F133" s="10">
        <f>((E133/E131)-1)*100</f>
        <v>-3.5669343976343915</v>
      </c>
    </row>
    <row r="134" spans="1:6" s="1" customFormat="1" ht="12.75">
      <c r="A134" s="6">
        <f>A133+31</f>
        <v>34424</v>
      </c>
      <c r="B134" s="12">
        <v>145.48</v>
      </c>
      <c r="C134" s="12">
        <f>7.32/12</f>
        <v>0.61</v>
      </c>
      <c r="D134" s="10">
        <f t="shared" si="29"/>
        <v>1.0123343652250907</v>
      </c>
      <c r="E134" s="10">
        <f t="shared" si="30"/>
        <v>147.2744034529462</v>
      </c>
      <c r="F134" s="10">
        <f>((E134/E131)-1)*100</f>
        <v>-4.404515479069071</v>
      </c>
    </row>
    <row r="135" spans="1:6" s="1" customFormat="1" ht="12.75">
      <c r="A135" s="6">
        <f>A134+30</f>
        <v>34454</v>
      </c>
      <c r="B135" s="12">
        <v>143.1</v>
      </c>
      <c r="C135" s="12">
        <f>7.36/12</f>
        <v>0.6133333333333334</v>
      </c>
      <c r="D135" s="10">
        <f t="shared" si="29"/>
        <v>1.016673277948161</v>
      </c>
      <c r="E135" s="10">
        <f t="shared" si="30"/>
        <v>145.48594607438184</v>
      </c>
      <c r="F135" s="10">
        <f>((E135/E131)-1)*100</f>
        <v>-5.565399146837702</v>
      </c>
    </row>
    <row r="136" spans="1:6" s="1" customFormat="1" ht="12.75">
      <c r="A136" s="6">
        <f>A135+31</f>
        <v>34485</v>
      </c>
      <c r="B136" s="12">
        <v>137.3</v>
      </c>
      <c r="C136" s="12">
        <f>7.36/12</f>
        <v>0.6133333333333334</v>
      </c>
      <c r="D136" s="10">
        <f t="shared" si="29"/>
        <v>1.021214862875145</v>
      </c>
      <c r="E136" s="10">
        <f t="shared" si="30"/>
        <v>140.21280067275742</v>
      </c>
      <c r="F136" s="10">
        <f>((E136/E131)-1)*100</f>
        <v>-8.988185984189656</v>
      </c>
    </row>
    <row r="137" spans="1:6" s="1" customFormat="1" ht="12.75">
      <c r="A137" s="6">
        <f>A136+30</f>
        <v>34515</v>
      </c>
      <c r="B137" s="12">
        <v>133.75</v>
      </c>
      <c r="C137" s="12">
        <f>7.36/12</f>
        <v>0.6133333333333334</v>
      </c>
      <c r="D137" s="10">
        <f t="shared" si="29"/>
        <v>1.025897817012691</v>
      </c>
      <c r="E137" s="10">
        <f t="shared" si="30"/>
        <v>137.2138330254474</v>
      </c>
      <c r="F137" s="10">
        <f>((E137/E131)-1)*100</f>
        <v>-10.934809148742442</v>
      </c>
    </row>
    <row r="138" spans="1:6" s="1" customFormat="1" ht="12.75">
      <c r="A138" s="6">
        <f>A137+31</f>
        <v>34546</v>
      </c>
      <c r="B138" s="12">
        <v>136.04</v>
      </c>
      <c r="C138" s="12">
        <f>7.38/12</f>
        <v>0.615</v>
      </c>
      <c r="D138" s="10">
        <f t="shared" si="29"/>
        <v>1.0305356232275014</v>
      </c>
      <c r="E138" s="10">
        <f t="shared" si="30"/>
        <v>140.19406618386927</v>
      </c>
      <c r="F138" s="10">
        <f>((E138/E131)-1)*100</f>
        <v>-9.000346498851574</v>
      </c>
    </row>
    <row r="139" spans="1:6" s="1" customFormat="1" ht="12.75">
      <c r="A139" s="6">
        <f>A138+31</f>
        <v>34577</v>
      </c>
      <c r="B139" s="12">
        <v>134.07</v>
      </c>
      <c r="C139" s="12">
        <f>7.38/12</f>
        <v>0.615</v>
      </c>
      <c r="D139" s="10">
        <f t="shared" si="29"/>
        <v>1.0352628508569852</v>
      </c>
      <c r="E139" s="10">
        <f t="shared" si="30"/>
        <v>138.797690414396</v>
      </c>
      <c r="F139" s="10">
        <f>((E139/E131)-1)*100</f>
        <v>-9.906730874726744</v>
      </c>
    </row>
    <row r="140" spans="1:6" s="1" customFormat="1" ht="12.75">
      <c r="A140" s="6">
        <f>A139+30</f>
        <v>34607</v>
      </c>
      <c r="B140" s="12">
        <v>131.6</v>
      </c>
      <c r="C140" s="12">
        <f>7.38/12</f>
        <v>0.615</v>
      </c>
      <c r="D140" s="10">
        <f t="shared" si="29"/>
        <v>1.0401008953347743</v>
      </c>
      <c r="E140" s="10">
        <f t="shared" si="30"/>
        <v>136.8772778260563</v>
      </c>
      <c r="F140" s="10">
        <f>((E140/E131)-1)*100</f>
        <v>-11.153266372805215</v>
      </c>
    </row>
    <row r="141" spans="1:6" s="1" customFormat="1" ht="12.75">
      <c r="A141" s="6">
        <f>A140+31</f>
        <v>34638</v>
      </c>
      <c r="B141" s="12">
        <v>134.72</v>
      </c>
      <c r="C141" s="12">
        <f>7.38/12</f>
        <v>0.615</v>
      </c>
      <c r="D141" s="10">
        <f t="shared" si="29"/>
        <v>1.0448489806274621</v>
      </c>
      <c r="E141" s="10">
        <f t="shared" si="30"/>
        <v>140.7620546701317</v>
      </c>
      <c r="F141" s="10">
        <f>((E141/E131)-1)*100</f>
        <v>-8.6316664480516</v>
      </c>
    </row>
    <row r="142" spans="1:6" s="1" customFormat="1" ht="13.5" thickBot="1">
      <c r="A142" s="6">
        <f>A141+30</f>
        <v>34668</v>
      </c>
      <c r="B142" s="12">
        <v>124.42</v>
      </c>
      <c r="C142" s="12">
        <f>7.39/12</f>
        <v>0.6158333333333333</v>
      </c>
      <c r="D142" s="10">
        <f t="shared" si="29"/>
        <v>1.0500205995839784</v>
      </c>
      <c r="E142" s="10">
        <f t="shared" si="30"/>
        <v>130.6435630002386</v>
      </c>
      <c r="F142" s="10">
        <f>((E142/E131)-1)*100</f>
        <v>-15.199556666079062</v>
      </c>
    </row>
    <row r="143" spans="1:6" s="1" customFormat="1" ht="13.5" thickBot="1">
      <c r="A143" s="6">
        <f>A142+31</f>
        <v>34699</v>
      </c>
      <c r="B143" s="12">
        <v>126.96</v>
      </c>
      <c r="C143" s="12">
        <f>7.44/12</f>
        <v>0.62</v>
      </c>
      <c r="D143" s="10">
        <f t="shared" si="29"/>
        <v>1.0551482994244168</v>
      </c>
      <c r="E143" s="10">
        <f t="shared" si="30"/>
        <v>133.96162809492395</v>
      </c>
      <c r="F143" s="11">
        <f>((E143/E131)-1)*100</f>
        <v>-13.04580806508896</v>
      </c>
    </row>
    <row r="144" spans="2:6" s="1" customFormat="1" ht="12.75">
      <c r="B144" s="9"/>
      <c r="C144" s="9"/>
      <c r="D144" s="9"/>
      <c r="E144" s="9"/>
      <c r="F144" s="9"/>
    </row>
    <row r="145" spans="1:6" s="1" customFormat="1" ht="12.75">
      <c r="A145" s="6">
        <f>DATE(94,12,31)</f>
        <v>34699</v>
      </c>
      <c r="B145" s="12">
        <f>B143</f>
        <v>126.96</v>
      </c>
      <c r="C145" s="12"/>
      <c r="D145" s="10">
        <v>1</v>
      </c>
      <c r="E145" s="10">
        <f>B145</f>
        <v>126.96</v>
      </c>
      <c r="F145" s="9"/>
    </row>
    <row r="146" spans="1:6" s="1" customFormat="1" ht="12.75">
      <c r="A146" s="6">
        <f>A145+31</f>
        <v>34730</v>
      </c>
      <c r="B146" s="12">
        <v>129.4</v>
      </c>
      <c r="C146" s="12">
        <f>7.44/12</f>
        <v>0.62</v>
      </c>
      <c r="D146" s="10">
        <f aca="true" t="shared" si="31" ref="D146:D157">D145+((D145*C146)/B146)</f>
        <v>1.004791344667697</v>
      </c>
      <c r="E146" s="10">
        <f aca="true" t="shared" si="32" ref="E146:E157">B146*D146</f>
        <v>130.02</v>
      </c>
      <c r="F146" s="10">
        <f>((E146/E145)-1)*100</f>
        <v>2.410207939508524</v>
      </c>
    </row>
    <row r="147" spans="1:6" s="1" customFormat="1" ht="12.75">
      <c r="A147" s="6">
        <f>A146+28</f>
        <v>34758</v>
      </c>
      <c r="B147" s="12">
        <v>133.19</v>
      </c>
      <c r="C147" s="12">
        <f>7.44/12</f>
        <v>0.62</v>
      </c>
      <c r="D147" s="10">
        <f t="shared" si="31"/>
        <v>1.0094686525263499</v>
      </c>
      <c r="E147" s="10">
        <f t="shared" si="32"/>
        <v>134.45112982998452</v>
      </c>
      <c r="F147" s="10">
        <f>((E147/E145)-1)*100</f>
        <v>5.900385814417564</v>
      </c>
    </row>
    <row r="148" spans="1:6" s="1" customFormat="1" ht="12.75">
      <c r="A148" s="6">
        <f>A147+31</f>
        <v>34789</v>
      </c>
      <c r="B148" s="12">
        <v>134.6</v>
      </c>
      <c r="C148" s="12">
        <f>7.45/12</f>
        <v>0.6208333333333333</v>
      </c>
      <c r="D148" s="10">
        <f t="shared" si="31"/>
        <v>1.0141247579382626</v>
      </c>
      <c r="E148" s="10">
        <f t="shared" si="32"/>
        <v>136.50119241849015</v>
      </c>
      <c r="F148" s="10">
        <f>((E148/E145)-1)*100</f>
        <v>7.515116901772334</v>
      </c>
    </row>
    <row r="149" spans="1:6" s="1" customFormat="1" ht="12.75">
      <c r="A149" s="6">
        <f>A148+30</f>
        <v>34819</v>
      </c>
      <c r="B149" s="12">
        <v>136.95</v>
      </c>
      <c r="C149" s="12">
        <f>7.46/12</f>
        <v>0.6216666666666667</v>
      </c>
      <c r="D149" s="10">
        <f t="shared" si="31"/>
        <v>1.01872824503466</v>
      </c>
      <c r="E149" s="10">
        <f t="shared" si="32"/>
        <v>139.51483315749667</v>
      </c>
      <c r="F149" s="10">
        <f>((E149/E145)-1)*100</f>
        <v>9.888809985425873</v>
      </c>
    </row>
    <row r="150" spans="1:8" s="1" customFormat="1" ht="12.75">
      <c r="A150" s="6">
        <f>A149+31</f>
        <v>34850</v>
      </c>
      <c r="B150" s="12">
        <v>133.05</v>
      </c>
      <c r="C150" s="12">
        <f>7.46/12</f>
        <v>0.6216666666666667</v>
      </c>
      <c r="D150" s="10">
        <f t="shared" si="31"/>
        <v>1.0234881803396572</v>
      </c>
      <c r="E150" s="10">
        <f t="shared" si="32"/>
        <v>136.17510239419138</v>
      </c>
      <c r="F150" s="10">
        <f>((E150/E145)-1)*100</f>
        <v>7.258272207145078</v>
      </c>
      <c r="G150" s="7"/>
      <c r="H150" s="7"/>
    </row>
    <row r="151" spans="1:8" s="1" customFormat="1" ht="12.75">
      <c r="A151" s="6">
        <f>A150+30</f>
        <v>34880</v>
      </c>
      <c r="B151" s="12">
        <v>137.29</v>
      </c>
      <c r="C151" s="12">
        <f>7.46/12</f>
        <v>0.6216666666666667</v>
      </c>
      <c r="D151" s="10">
        <f t="shared" si="31"/>
        <v>1.0281226656295144</v>
      </c>
      <c r="E151" s="10">
        <f t="shared" si="32"/>
        <v>141.15096076427602</v>
      </c>
      <c r="F151" s="10">
        <f>((E151/E145)-1)*100</f>
        <v>11.177505327879667</v>
      </c>
      <c r="G151" s="7"/>
      <c r="H151" s="7"/>
    </row>
    <row r="152" spans="1:8" s="1" customFormat="1" ht="12.75">
      <c r="A152" s="6">
        <f>A151+31</f>
        <v>34911</v>
      </c>
      <c r="B152" s="12">
        <v>134.92</v>
      </c>
      <c r="C152" s="12">
        <f>7.46/12</f>
        <v>0.6216666666666667</v>
      </c>
      <c r="D152" s="10">
        <f t="shared" si="31"/>
        <v>1.0328599142988468</v>
      </c>
      <c r="E152" s="10">
        <f t="shared" si="32"/>
        <v>139.3534596372004</v>
      </c>
      <c r="F152" s="10">
        <f>((E152/E145)-1)*100</f>
        <v>9.761704188091059</v>
      </c>
      <c r="G152" s="7"/>
      <c r="H152" s="7"/>
    </row>
    <row r="153" spans="1:6" s="1" customFormat="1" ht="12.75">
      <c r="A153" s="6">
        <f>A152+31</f>
        <v>34942</v>
      </c>
      <c r="B153" s="12">
        <v>138.5</v>
      </c>
      <c r="C153" s="12">
        <f>7.49/12</f>
        <v>0.6241666666666666</v>
      </c>
      <c r="D153" s="10">
        <f t="shared" si="31"/>
        <v>1.0375146199294716</v>
      </c>
      <c r="E153" s="10">
        <f t="shared" si="32"/>
        <v>143.6957748602318</v>
      </c>
      <c r="F153" s="10">
        <f>((E153/E145)-1)*100</f>
        <v>13.181927268613581</v>
      </c>
    </row>
    <row r="154" spans="1:6" s="1" customFormat="1" ht="12.75">
      <c r="A154" s="6">
        <f>A153+30</f>
        <v>34972</v>
      </c>
      <c r="B154" s="12">
        <v>141.93</v>
      </c>
      <c r="C154" s="12">
        <f>7.49/12</f>
        <v>0.6241666666666666</v>
      </c>
      <c r="D154" s="10">
        <f t="shared" si="31"/>
        <v>1.042077306056008</v>
      </c>
      <c r="E154" s="10">
        <f t="shared" si="32"/>
        <v>147.90203204852924</v>
      </c>
      <c r="F154" s="10">
        <f>((E154/E145)-1)*100</f>
        <v>16.494984285230974</v>
      </c>
    </row>
    <row r="155" spans="1:6" s="1" customFormat="1" ht="12.75">
      <c r="A155" s="6">
        <f>A154+31</f>
        <v>35003</v>
      </c>
      <c r="B155" s="12">
        <v>143.65</v>
      </c>
      <c r="C155" s="12">
        <f>7.5/12</f>
        <v>0.625</v>
      </c>
      <c r="D155" s="10">
        <f t="shared" si="31"/>
        <v>1.046611230986638</v>
      </c>
      <c r="E155" s="10">
        <f t="shared" si="32"/>
        <v>150.34570333123057</v>
      </c>
      <c r="F155" s="10">
        <f>((E155/E145)-1)*100</f>
        <v>18.419741124157675</v>
      </c>
    </row>
    <row r="156" spans="1:6" s="1" customFormat="1" ht="13.5" thickBot="1">
      <c r="A156" s="6">
        <f>A155+30</f>
        <v>35033</v>
      </c>
      <c r="B156" s="12">
        <v>151.62</v>
      </c>
      <c r="C156" s="12">
        <f>7.52/12</f>
        <v>0.6266666666666667</v>
      </c>
      <c r="D156" s="10">
        <f t="shared" si="31"/>
        <v>1.0509370215909006</v>
      </c>
      <c r="E156" s="10">
        <f t="shared" si="32"/>
        <v>159.34307121361235</v>
      </c>
      <c r="F156" s="10">
        <f>((E156/E145)-1)*100</f>
        <v>25.50651481853525</v>
      </c>
    </row>
    <row r="157" spans="1:6" s="1" customFormat="1" ht="13.5" thickBot="1">
      <c r="A157" s="6">
        <f>A156+31</f>
        <v>35064</v>
      </c>
      <c r="B157" s="12">
        <v>155.94</v>
      </c>
      <c r="C157" s="12">
        <f>7.56/12</f>
        <v>0.63</v>
      </c>
      <c r="D157" s="10">
        <f t="shared" si="31"/>
        <v>1.0551828233326106</v>
      </c>
      <c r="E157" s="10">
        <f t="shared" si="32"/>
        <v>164.5452094704873</v>
      </c>
      <c r="F157" s="11">
        <f>((E157/E145)-1)*100</f>
        <v>29.603977213679357</v>
      </c>
    </row>
    <row r="158" spans="2:6" s="1" customFormat="1" ht="12.75">
      <c r="B158" s="9"/>
      <c r="C158" s="9"/>
      <c r="D158" s="9"/>
      <c r="E158" s="9"/>
      <c r="F158" s="9"/>
    </row>
    <row r="159" spans="1:6" s="1" customFormat="1" ht="12.75">
      <c r="A159" s="6">
        <f>DATE(95,12,31)</f>
        <v>35064</v>
      </c>
      <c r="B159" s="12">
        <f>B157</f>
        <v>155.94</v>
      </c>
      <c r="C159" s="12"/>
      <c r="D159" s="10">
        <v>1</v>
      </c>
      <c r="E159" s="10">
        <f>B159</f>
        <v>155.94</v>
      </c>
      <c r="F159" s="9"/>
    </row>
    <row r="160" spans="1:6" s="1" customFormat="1" ht="12.75">
      <c r="A160" s="6">
        <f>A159+31</f>
        <v>35095</v>
      </c>
      <c r="B160" s="12">
        <v>156.67</v>
      </c>
      <c r="C160" s="12">
        <f>7.56/12</f>
        <v>0.63</v>
      </c>
      <c r="D160" s="10">
        <f aca="true" t="shared" si="33" ref="D160:D171">D159+((D159*C160)/B160)</f>
        <v>1.0040211910384886</v>
      </c>
      <c r="E160" s="10">
        <f aca="true" t="shared" si="34" ref="E160:E171">B160*D160</f>
        <v>157.3</v>
      </c>
      <c r="F160" s="10">
        <f>((E160/E159)-1)*100</f>
        <v>0.8721303065281516</v>
      </c>
    </row>
    <row r="161" spans="1:6" s="1" customFormat="1" ht="12.75">
      <c r="A161" s="6">
        <f>A160+28</f>
        <v>35123</v>
      </c>
      <c r="B161" s="12">
        <v>156.06</v>
      </c>
      <c r="C161" s="12">
        <f>7.59/12</f>
        <v>0.6325</v>
      </c>
      <c r="D161" s="10">
        <f t="shared" si="33"/>
        <v>1.0080904169985798</v>
      </c>
      <c r="E161" s="10">
        <f t="shared" si="34"/>
        <v>157.32259047679838</v>
      </c>
      <c r="F161" s="10">
        <f>((E161/E159)-1)*100</f>
        <v>0.8866169531860812</v>
      </c>
    </row>
    <row r="162" spans="1:6" s="1" customFormat="1" ht="12.75">
      <c r="A162" s="6">
        <f>A161+31</f>
        <v>35154</v>
      </c>
      <c r="B162" s="12">
        <v>153.32</v>
      </c>
      <c r="C162" s="12">
        <f>7.61/12</f>
        <v>0.6341666666666667</v>
      </c>
      <c r="D162" s="10">
        <f t="shared" si="33"/>
        <v>1.0122601100552364</v>
      </c>
      <c r="E162" s="10">
        <f t="shared" si="34"/>
        <v>155.19972007366883</v>
      </c>
      <c r="F162" s="10">
        <f>((E162/E159)-1)*100</f>
        <v>-0.4747209993145929</v>
      </c>
    </row>
    <row r="163" spans="1:6" s="1" customFormat="1" ht="12.75">
      <c r="A163" s="6">
        <f>A162+30</f>
        <v>35184</v>
      </c>
      <c r="B163" s="12">
        <v>151.19</v>
      </c>
      <c r="C163" s="12">
        <f>7.61/12</f>
        <v>0.6341666666666667</v>
      </c>
      <c r="D163" s="10">
        <f t="shared" si="33"/>
        <v>1.0165060365040317</v>
      </c>
      <c r="E163" s="10">
        <f t="shared" si="34"/>
        <v>153.68554765904454</v>
      </c>
      <c r="F163" s="10">
        <f>((E163/E159)-1)*100</f>
        <v>-1.4457178023313144</v>
      </c>
    </row>
    <row r="164" spans="1:6" s="1" customFormat="1" ht="12.75">
      <c r="A164" s="6">
        <f>A163+31</f>
        <v>35215</v>
      </c>
      <c r="B164" s="12">
        <v>152.37</v>
      </c>
      <c r="C164" s="12">
        <f>8.83/12</f>
        <v>0.7358333333333333</v>
      </c>
      <c r="D164" s="10">
        <f t="shared" si="33"/>
        <v>1.0214150016887413</v>
      </c>
      <c r="E164" s="10">
        <f t="shared" si="34"/>
        <v>155.63300380731351</v>
      </c>
      <c r="F164" s="10">
        <f>((E164/E159)-1)*100</f>
        <v>-0.19686814972841304</v>
      </c>
    </row>
    <row r="165" spans="1:6" s="1" customFormat="1" ht="12.75">
      <c r="A165" s="6">
        <f>A164+30</f>
        <v>35245</v>
      </c>
      <c r="B165" s="12">
        <v>159.35</v>
      </c>
      <c r="C165" s="12">
        <f>8.83/12</f>
        <v>0.7358333333333333</v>
      </c>
      <c r="D165" s="10">
        <f t="shared" si="33"/>
        <v>1.0261316079354266</v>
      </c>
      <c r="E165" s="10">
        <f t="shared" si="34"/>
        <v>163.51407172451022</v>
      </c>
      <c r="F165" s="10">
        <f>((E165/E159)-1)*100</f>
        <v>4.857042275561252</v>
      </c>
    </row>
    <row r="166" spans="1:6" s="1" customFormat="1" ht="12.75">
      <c r="A166" s="6">
        <f>A165+31</f>
        <v>35276</v>
      </c>
      <c r="B166" s="12">
        <v>150.89</v>
      </c>
      <c r="C166" s="12">
        <f>8.83/12</f>
        <v>0.7358333333333333</v>
      </c>
      <c r="D166" s="10">
        <f t="shared" si="33"/>
        <v>1.031135662819818</v>
      </c>
      <c r="E166" s="10">
        <f t="shared" si="34"/>
        <v>155.58806016288233</v>
      </c>
      <c r="F166" s="10">
        <f>((E166/E159)-1)*100</f>
        <v>-0.2256892632536034</v>
      </c>
    </row>
    <row r="167" spans="1:6" s="1" customFormat="1" ht="12.75">
      <c r="A167" s="6">
        <f>A166+31</f>
        <v>35307</v>
      </c>
      <c r="B167" s="12">
        <v>163.83</v>
      </c>
      <c r="C167" s="12">
        <f>7.83/12</f>
        <v>0.6525</v>
      </c>
      <c r="D167" s="10">
        <f t="shared" si="33"/>
        <v>1.0352424565693752</v>
      </c>
      <c r="E167" s="10">
        <f t="shared" si="34"/>
        <v>169.60377165976075</v>
      </c>
      <c r="F167" s="10">
        <f>((E167/E159)-1)*100</f>
        <v>8.762198063204284</v>
      </c>
    </row>
    <row r="168" spans="1:6" s="1" customFormat="1" ht="12.75">
      <c r="A168" s="6">
        <f>A167+30</f>
        <v>35337</v>
      </c>
      <c r="B168" s="12">
        <v>152.81</v>
      </c>
      <c r="C168" s="12">
        <f>7.83/12</f>
        <v>0.6525</v>
      </c>
      <c r="D168" s="10">
        <f t="shared" si="33"/>
        <v>1.039662950666041</v>
      </c>
      <c r="E168" s="10">
        <f t="shared" si="34"/>
        <v>158.87089549127774</v>
      </c>
      <c r="F168" s="10">
        <f>((E168/E159)-1)*100</f>
        <v>1.8795020464779544</v>
      </c>
    </row>
    <row r="169" spans="1:6" s="1" customFormat="1" ht="12.75">
      <c r="A169" s="6">
        <f>A168+31</f>
        <v>35368</v>
      </c>
      <c r="B169" s="12">
        <v>161.73</v>
      </c>
      <c r="C169" s="12">
        <f>7.83/12</f>
        <v>0.6525</v>
      </c>
      <c r="D169" s="10">
        <f t="shared" si="33"/>
        <v>1.043857472865445</v>
      </c>
      <c r="E169" s="10">
        <f t="shared" si="34"/>
        <v>168.82306908652842</v>
      </c>
      <c r="F169" s="10">
        <f>((E169/E159)-1)*100</f>
        <v>8.261555140777489</v>
      </c>
    </row>
    <row r="170" spans="1:6" s="1" customFormat="1" ht="13.5" thickBot="1">
      <c r="A170" s="6">
        <f>A169+30</f>
        <v>35398</v>
      </c>
      <c r="B170" s="12">
        <v>169.5</v>
      </c>
      <c r="C170" s="12">
        <f>7.87/12</f>
        <v>0.6558333333333334</v>
      </c>
      <c r="D170" s="10">
        <f t="shared" si="33"/>
        <v>1.0478963904226972</v>
      </c>
      <c r="E170" s="10">
        <f t="shared" si="34"/>
        <v>177.61843817664717</v>
      </c>
      <c r="F170" s="10">
        <f>((E170/E159)-1)*100</f>
        <v>13.901781567684491</v>
      </c>
    </row>
    <row r="171" spans="1:6" s="1" customFormat="1" ht="13.5" thickBot="1">
      <c r="A171" s="6">
        <f>A170+31</f>
        <v>35429</v>
      </c>
      <c r="B171" s="12">
        <v>166.64</v>
      </c>
      <c r="C171" s="12">
        <f>7.91/12</f>
        <v>0.6591666666666667</v>
      </c>
      <c r="D171" s="10">
        <f t="shared" si="33"/>
        <v>1.0520414838617693</v>
      </c>
      <c r="E171" s="10">
        <f t="shared" si="34"/>
        <v>175.31219287072523</v>
      </c>
      <c r="F171" s="11">
        <f>((E171/E159)-1)*100</f>
        <v>12.422850372403005</v>
      </c>
    </row>
    <row r="172" spans="2:6" s="1" customFormat="1" ht="12.75">
      <c r="B172" s="9"/>
      <c r="C172" s="9"/>
      <c r="D172" s="9"/>
      <c r="E172" s="9"/>
      <c r="F172" s="9"/>
    </row>
    <row r="173" spans="1:6" s="1" customFormat="1" ht="12.75">
      <c r="A173" s="6">
        <f>DATE(96,12,31)</f>
        <v>35430</v>
      </c>
      <c r="B173" s="12">
        <f>B171</f>
        <v>166.64</v>
      </c>
      <c r="C173" s="12"/>
      <c r="D173" s="10">
        <v>1</v>
      </c>
      <c r="E173" s="10">
        <f>B173</f>
        <v>166.64</v>
      </c>
      <c r="F173" s="9"/>
    </row>
    <row r="174" spans="1:6" s="1" customFormat="1" ht="12.75">
      <c r="A174" s="6">
        <f>A173+31</f>
        <v>35461</v>
      </c>
      <c r="B174" s="12">
        <v>162.04</v>
      </c>
      <c r="C174" s="12">
        <f>7.91/12</f>
        <v>0.6591666666666667</v>
      </c>
      <c r="D174" s="10">
        <f aca="true" t="shared" si="35" ref="D174:D185">D173+((D173*C174)/B174)</f>
        <v>1.0040679256150744</v>
      </c>
      <c r="E174" s="10">
        <f aca="true" t="shared" si="36" ref="E174:E185">B174*D174</f>
        <v>162.69916666666666</v>
      </c>
      <c r="F174" s="10">
        <f>((E174/E173)-1)*100</f>
        <v>-2.36487838054088</v>
      </c>
    </row>
    <row r="175" spans="1:6" s="1" customFormat="1" ht="12.75">
      <c r="A175" s="6">
        <f>A174+28</f>
        <v>35489</v>
      </c>
      <c r="B175" s="12">
        <v>159.63</v>
      </c>
      <c r="C175" s="12">
        <f>7.94/12</f>
        <v>0.6616666666666667</v>
      </c>
      <c r="D175" s="10">
        <f t="shared" si="35"/>
        <v>1.0082297891585728</v>
      </c>
      <c r="E175" s="10">
        <f t="shared" si="36"/>
        <v>160.94372124338295</v>
      </c>
      <c r="F175" s="10">
        <f>((E175/E173)-1)*100</f>
        <v>-3.4183141842397013</v>
      </c>
    </row>
    <row r="176" spans="1:6" s="1" customFormat="1" ht="12.75">
      <c r="A176" s="6">
        <f>A175+31</f>
        <v>35520</v>
      </c>
      <c r="B176" s="12">
        <v>158.88</v>
      </c>
      <c r="C176" s="12">
        <f>7.94/12</f>
        <v>0.6616666666666667</v>
      </c>
      <c r="D176" s="10">
        <f t="shared" si="35"/>
        <v>1.0124286313276727</v>
      </c>
      <c r="E176" s="10">
        <f t="shared" si="36"/>
        <v>160.85466094534064</v>
      </c>
      <c r="F176" s="10">
        <f>((E176/E173)-1)*100</f>
        <v>-3.4717589142218785</v>
      </c>
    </row>
    <row r="177" spans="1:6" s="1" customFormat="1" ht="12.75">
      <c r="A177" s="6">
        <f>A176+30</f>
        <v>35550</v>
      </c>
      <c r="B177" s="12">
        <v>153.52</v>
      </c>
      <c r="C177" s="12">
        <f>7.98/12</f>
        <v>0.665</v>
      </c>
      <c r="D177" s="10">
        <f t="shared" si="35"/>
        <v>1.016814151389117</v>
      </c>
      <c r="E177" s="10">
        <f t="shared" si="36"/>
        <v>156.10130852125724</v>
      </c>
      <c r="F177" s="10">
        <f>((E177/E173)-1)*100</f>
        <v>-6.324226763527818</v>
      </c>
    </row>
    <row r="178" spans="1:6" s="1" customFormat="1" ht="12.75">
      <c r="A178" s="6">
        <f>A177+31</f>
        <v>35581</v>
      </c>
      <c r="B178" s="12">
        <v>159.88</v>
      </c>
      <c r="C178" s="12">
        <f>8/12</f>
        <v>0.6666666666666666</v>
      </c>
      <c r="D178" s="10">
        <f t="shared" si="35"/>
        <v>1.021054056949075</v>
      </c>
      <c r="E178" s="10">
        <f t="shared" si="36"/>
        <v>163.2461226250181</v>
      </c>
      <c r="F178" s="10">
        <f>((E178/E173)-1)*100</f>
        <v>-2.036652289355423</v>
      </c>
    </row>
    <row r="179" spans="1:6" s="1" customFormat="1" ht="12.75">
      <c r="A179" s="6">
        <f>A178+30</f>
        <v>35611</v>
      </c>
      <c r="B179" s="12">
        <v>165.98</v>
      </c>
      <c r="C179" s="12">
        <f>8/12</f>
        <v>0.6666666666666666</v>
      </c>
      <c r="D179" s="10">
        <f t="shared" si="35"/>
        <v>1.025155169761659</v>
      </c>
      <c r="E179" s="10">
        <f t="shared" si="36"/>
        <v>170.15525507704015</v>
      </c>
      <c r="F179" s="10">
        <f>((E179/E173)-1)*100</f>
        <v>2.1094905647144557</v>
      </c>
    </row>
    <row r="180" spans="1:6" s="1" customFormat="1" ht="12.75">
      <c r="A180" s="6">
        <f>A179+31</f>
        <v>35642</v>
      </c>
      <c r="B180" s="12">
        <v>168.44</v>
      </c>
      <c r="C180" s="12">
        <f aca="true" t="shared" si="37" ref="C180:C185">8.02/12</f>
        <v>0.6683333333333333</v>
      </c>
      <c r="D180" s="10">
        <f t="shared" si="35"/>
        <v>1.0292227628024493</v>
      </c>
      <c r="E180" s="10">
        <f t="shared" si="36"/>
        <v>173.36228216644454</v>
      </c>
      <c r="F180" s="10">
        <f>((E180/E173)-1)*100</f>
        <v>4.034014742225489</v>
      </c>
    </row>
    <row r="181" spans="1:6" s="1" customFormat="1" ht="12.75">
      <c r="A181" s="6">
        <f>A180+31</f>
        <v>35673</v>
      </c>
      <c r="B181" s="12">
        <v>168.35</v>
      </c>
      <c r="C181" s="12">
        <f t="shared" si="37"/>
        <v>0.6683333333333333</v>
      </c>
      <c r="D181" s="10">
        <f t="shared" si="35"/>
        <v>1.0333086783344143</v>
      </c>
      <c r="E181" s="10">
        <f t="shared" si="36"/>
        <v>173.95751599759865</v>
      </c>
      <c r="F181" s="10">
        <f>((E181/E173)-1)*100</f>
        <v>4.391212192509997</v>
      </c>
    </row>
    <row r="182" spans="1:6" s="1" customFormat="1" ht="12.75">
      <c r="A182" s="6">
        <f>A181+30</f>
        <v>35703</v>
      </c>
      <c r="B182" s="12">
        <v>174.44</v>
      </c>
      <c r="C182" s="12">
        <f t="shared" si="37"/>
        <v>0.6683333333333333</v>
      </c>
      <c r="D182" s="10">
        <f t="shared" si="35"/>
        <v>1.037267601937679</v>
      </c>
      <c r="E182" s="10">
        <f t="shared" si="36"/>
        <v>180.9409604820087</v>
      </c>
      <c r="F182" s="10">
        <f>((E182/E173)-1)*100</f>
        <v>8.581949401109412</v>
      </c>
    </row>
    <row r="183" spans="1:6" s="1" customFormat="1" ht="12.75">
      <c r="A183" s="6">
        <f>A182+31</f>
        <v>35734</v>
      </c>
      <c r="B183" s="12">
        <v>168.51</v>
      </c>
      <c r="C183" s="12">
        <f t="shared" si="37"/>
        <v>0.6683333333333333</v>
      </c>
      <c r="D183" s="10">
        <f t="shared" si="35"/>
        <v>1.0413815448132453</v>
      </c>
      <c r="E183" s="10">
        <f t="shared" si="36"/>
        <v>175.48320411647995</v>
      </c>
      <c r="F183" s="10">
        <f>((E183/E173)-1)*100</f>
        <v>5.30677155333652</v>
      </c>
    </row>
    <row r="184" spans="1:6" s="1" customFormat="1" ht="13.5" thickBot="1">
      <c r="A184" s="6">
        <f>A183+30</f>
        <v>35764</v>
      </c>
      <c r="B184" s="12">
        <v>177.39</v>
      </c>
      <c r="C184" s="12">
        <f t="shared" si="37"/>
        <v>0.6683333333333333</v>
      </c>
      <c r="D184" s="10">
        <f t="shared" si="35"/>
        <v>1.045305046696761</v>
      </c>
      <c r="E184" s="10">
        <f t="shared" si="36"/>
        <v>185.42666223353842</v>
      </c>
      <c r="F184" s="10">
        <f>((E184/E173)-1)*100</f>
        <v>11.273801148306784</v>
      </c>
    </row>
    <row r="185" spans="1:6" s="1" customFormat="1" ht="13.5" thickBot="1">
      <c r="A185" s="6">
        <f>A184+31</f>
        <v>35795</v>
      </c>
      <c r="B185" s="12">
        <v>191.04</v>
      </c>
      <c r="C185" s="12">
        <f t="shared" si="37"/>
        <v>0.6683333333333333</v>
      </c>
      <c r="D185" s="10">
        <f t="shared" si="35"/>
        <v>1.0489619363858784</v>
      </c>
      <c r="E185" s="10">
        <f t="shared" si="36"/>
        <v>200.3936883271582</v>
      </c>
      <c r="F185" s="11">
        <f>((E185/E173)-1)*100</f>
        <v>20.255453868913964</v>
      </c>
    </row>
    <row r="186" spans="2:6" s="1" customFormat="1" ht="12.75">
      <c r="B186" s="9"/>
      <c r="C186" s="9"/>
      <c r="D186" s="9"/>
      <c r="E186" s="9"/>
      <c r="F186" s="9"/>
    </row>
    <row r="187" spans="1:6" s="1" customFormat="1" ht="12.75">
      <c r="A187" s="6">
        <f>DATE(97,12,31)</f>
        <v>35795</v>
      </c>
      <c r="B187" s="12">
        <f>B185</f>
        <v>191.04</v>
      </c>
      <c r="C187" s="12"/>
      <c r="D187" s="10">
        <v>1</v>
      </c>
      <c r="E187" s="10">
        <f>B187</f>
        <v>191.04</v>
      </c>
      <c r="F187" s="9"/>
    </row>
    <row r="188" spans="1:6" s="1" customFormat="1" ht="12.75">
      <c r="A188" s="6">
        <f>A187+31</f>
        <v>35826</v>
      </c>
      <c r="B188" s="12">
        <v>181.25</v>
      </c>
      <c r="C188" s="12">
        <f>8.02/12</f>
        <v>0.6683333333333333</v>
      </c>
      <c r="D188" s="10">
        <f aca="true" t="shared" si="38" ref="D188:D199">D187+((D187*C188)/B188)</f>
        <v>1.0036873563218391</v>
      </c>
      <c r="E188" s="10">
        <f aca="true" t="shared" si="39" ref="E188:E199">B188*D188</f>
        <v>181.91833333333335</v>
      </c>
      <c r="F188" s="10">
        <f>((E188/E187)-1)*100</f>
        <v>-4.774741764377433</v>
      </c>
    </row>
    <row r="189" spans="1:6" s="1" customFormat="1" ht="12.75">
      <c r="A189" s="6">
        <f>A188+28</f>
        <v>35854</v>
      </c>
      <c r="B189" s="12">
        <v>184.14</v>
      </c>
      <c r="C189" s="12">
        <f>8.07/12</f>
        <v>0.6725</v>
      </c>
      <c r="D189" s="10">
        <f t="shared" si="38"/>
        <v>1.0073529354851194</v>
      </c>
      <c r="E189" s="10">
        <f t="shared" si="39"/>
        <v>185.49396954022987</v>
      </c>
      <c r="F189" s="10">
        <f>((E189/E187)-1)*100</f>
        <v>-2.9030728956083163</v>
      </c>
    </row>
    <row r="190" spans="1:6" s="1" customFormat="1" ht="12.75">
      <c r="A190" s="6">
        <f>A189+31</f>
        <v>35885</v>
      </c>
      <c r="B190" s="12">
        <v>186.15</v>
      </c>
      <c r="C190" s="12">
        <f aca="true" t="shared" si="40" ref="C190:C199">8.13/12</f>
        <v>0.6775000000000001</v>
      </c>
      <c r="D190" s="10">
        <f t="shared" si="38"/>
        <v>1.011019234780264</v>
      </c>
      <c r="E190" s="10">
        <f t="shared" si="39"/>
        <v>188.20123055434615</v>
      </c>
      <c r="F190" s="10">
        <f>((E190/E187)-1)*100</f>
        <v>-1.4859555305976935</v>
      </c>
    </row>
    <row r="191" spans="1:6" s="1" customFormat="1" ht="12.75">
      <c r="A191" s="6">
        <f>A190+30</f>
        <v>35915</v>
      </c>
      <c r="B191" s="12">
        <v>180.81</v>
      </c>
      <c r="C191" s="12">
        <f t="shared" si="40"/>
        <v>0.6775000000000001</v>
      </c>
      <c r="D191" s="10">
        <f t="shared" si="38"/>
        <v>1.0148075514196293</v>
      </c>
      <c r="E191" s="10">
        <f t="shared" si="39"/>
        <v>183.48735337218318</v>
      </c>
      <c r="F191" s="10">
        <f>((E191/E187)-1)*100</f>
        <v>-3.953437305180496</v>
      </c>
    </row>
    <row r="192" spans="1:6" s="1" customFormat="1" ht="12.75">
      <c r="A192" s="6">
        <f>A191+31</f>
        <v>35946</v>
      </c>
      <c r="B192" s="12">
        <v>181.36</v>
      </c>
      <c r="C192" s="12">
        <f t="shared" si="40"/>
        <v>0.6775000000000001</v>
      </c>
      <c r="D192" s="10">
        <f t="shared" si="38"/>
        <v>1.0185985313274746</v>
      </c>
      <c r="E192" s="10">
        <f t="shared" si="39"/>
        <v>184.73302964155081</v>
      </c>
      <c r="F192" s="10">
        <f>((E192/E187)-1)*100</f>
        <v>-3.301387331684036</v>
      </c>
    </row>
    <row r="193" spans="1:6" s="1" customFormat="1" ht="12.75">
      <c r="A193" s="6">
        <f>A192+30</f>
        <v>35976</v>
      </c>
      <c r="B193" s="12">
        <v>176.31</v>
      </c>
      <c r="C193" s="12">
        <f t="shared" si="40"/>
        <v>0.6775000000000001</v>
      </c>
      <c r="D193" s="10">
        <f t="shared" si="38"/>
        <v>1.0225126627152255</v>
      </c>
      <c r="E193" s="10">
        <f t="shared" si="39"/>
        <v>180.2792075633214</v>
      </c>
      <c r="F193" s="10">
        <f>((E193/E187)-1)*100</f>
        <v>-5.6327431096516944</v>
      </c>
    </row>
    <row r="194" spans="1:6" s="1" customFormat="1" ht="12.75">
      <c r="A194" s="6">
        <f>A193+31</f>
        <v>36007</v>
      </c>
      <c r="B194" s="12">
        <v>165.36</v>
      </c>
      <c r="C194" s="12">
        <f t="shared" si="40"/>
        <v>0.6775000000000001</v>
      </c>
      <c r="D194" s="10">
        <f t="shared" si="38"/>
        <v>1.0267020212601552</v>
      </c>
      <c r="E194" s="10">
        <f t="shared" si="39"/>
        <v>169.77544623557927</v>
      </c>
      <c r="F194" s="10">
        <f>((E194/E187)-1)*100</f>
        <v>-11.130943134642335</v>
      </c>
    </row>
    <row r="195" spans="1:6" s="1" customFormat="1" ht="12.75">
      <c r="A195" s="6">
        <f>A194+31</f>
        <v>36038</v>
      </c>
      <c r="B195" s="12">
        <v>163.82</v>
      </c>
      <c r="C195" s="12">
        <f t="shared" si="40"/>
        <v>0.6775000000000001</v>
      </c>
      <c r="D195" s="10">
        <f t="shared" si="38"/>
        <v>1.030948087792958</v>
      </c>
      <c r="E195" s="10">
        <f t="shared" si="39"/>
        <v>168.88991574224238</v>
      </c>
      <c r="F195" s="10">
        <f>((E195/E187)-1)*100</f>
        <v>-11.594474590534764</v>
      </c>
    </row>
    <row r="196" spans="1:6" s="1" customFormat="1" ht="12.75">
      <c r="A196" s="6">
        <f>A195+30</f>
        <v>36068</v>
      </c>
      <c r="B196" s="12">
        <v>173.49</v>
      </c>
      <c r="C196" s="12">
        <f t="shared" si="40"/>
        <v>0.6775000000000001</v>
      </c>
      <c r="D196" s="10">
        <f t="shared" si="38"/>
        <v>1.0349740681346475</v>
      </c>
      <c r="E196" s="10">
        <f t="shared" si="39"/>
        <v>179.55765108068002</v>
      </c>
      <c r="F196" s="10">
        <f>((E196/E187)-1)*100</f>
        <v>-6.010442273513384</v>
      </c>
    </row>
    <row r="197" spans="1:6" s="1" customFormat="1" ht="12.75">
      <c r="A197" s="6">
        <f>A196+31</f>
        <v>36099</v>
      </c>
      <c r="B197" s="12">
        <v>174.74</v>
      </c>
      <c r="C197" s="12">
        <f t="shared" si="40"/>
        <v>0.6775000000000001</v>
      </c>
      <c r="D197" s="10">
        <f t="shared" si="38"/>
        <v>1.038986858172196</v>
      </c>
      <c r="E197" s="10">
        <f t="shared" si="39"/>
        <v>181.55256359700954</v>
      </c>
      <c r="F197" s="10">
        <f>((E197/E187)-1)*100</f>
        <v>-4.966204147293995</v>
      </c>
    </row>
    <row r="198" spans="1:6" s="1" customFormat="1" ht="13.5" thickBot="1">
      <c r="A198" s="6">
        <f>A197+30</f>
        <v>36129</v>
      </c>
      <c r="B198" s="12">
        <v>176.55</v>
      </c>
      <c r="C198" s="12">
        <f t="shared" si="40"/>
        <v>0.6775000000000001</v>
      </c>
      <c r="D198" s="10">
        <f t="shared" si="38"/>
        <v>1.042973907712902</v>
      </c>
      <c r="E198" s="10">
        <f t="shared" si="39"/>
        <v>184.13704340671288</v>
      </c>
      <c r="F198" s="10">
        <f>((E198/E187)-1)*100</f>
        <v>-3.6133566757156177</v>
      </c>
    </row>
    <row r="199" spans="1:6" s="1" customFormat="1" ht="13.5" thickBot="1">
      <c r="A199" s="6">
        <f>A198+31</f>
        <v>36160</v>
      </c>
      <c r="B199" s="12">
        <v>177.24</v>
      </c>
      <c r="C199" s="12">
        <f t="shared" si="40"/>
        <v>0.6775000000000001</v>
      </c>
      <c r="D199" s="10">
        <f t="shared" si="38"/>
        <v>1.0469606760635877</v>
      </c>
      <c r="E199" s="10">
        <f t="shared" si="39"/>
        <v>185.5633102255103</v>
      </c>
      <c r="F199" s="11">
        <f>((E199/E187)-1)*100</f>
        <v>-2.8667764732462797</v>
      </c>
    </row>
    <row r="200" spans="2:6" s="1" customFormat="1" ht="12.75">
      <c r="B200" s="9"/>
      <c r="C200" s="9"/>
      <c r="D200" s="9"/>
      <c r="E200" s="9"/>
      <c r="F200" s="9"/>
    </row>
    <row r="201" spans="1:6" s="1" customFormat="1" ht="12.75">
      <c r="A201" s="6">
        <f>DATE(98,12,31)</f>
        <v>36160</v>
      </c>
      <c r="B201" s="12">
        <f>B199</f>
        <v>177.24</v>
      </c>
      <c r="C201" s="12"/>
      <c r="D201" s="10">
        <v>1</v>
      </c>
      <c r="E201" s="10">
        <f>B201</f>
        <v>177.24</v>
      </c>
      <c r="F201" s="9"/>
    </row>
    <row r="202" spans="1:6" s="1" customFormat="1" ht="12.75">
      <c r="A202" s="6">
        <f>A201+31</f>
        <v>36191</v>
      </c>
      <c r="B202" s="12">
        <v>162.28</v>
      </c>
      <c r="C202" s="12">
        <f>8.13/12</f>
        <v>0.6775000000000001</v>
      </c>
      <c r="D202" s="10">
        <f aca="true" t="shared" si="41" ref="D202:D213">D201+((D201*C202)/B202)</f>
        <v>1.0041748829184127</v>
      </c>
      <c r="E202" s="10">
        <f aca="true" t="shared" si="42" ref="E202:E213">B202*D202</f>
        <v>162.9575</v>
      </c>
      <c r="F202" s="10">
        <f>((E202/E201)-1)*100</f>
        <v>-8.058282554728047</v>
      </c>
    </row>
    <row r="203" spans="1:6" s="1" customFormat="1" ht="12.75">
      <c r="A203" s="6">
        <f>A202+28</f>
        <v>36219</v>
      </c>
      <c r="B203" s="12">
        <v>149.41</v>
      </c>
      <c r="C203" s="12">
        <f aca="true" t="shared" si="43" ref="C203:C208">8.16/12</f>
        <v>0.68</v>
      </c>
      <c r="D203" s="10">
        <f t="shared" si="41"/>
        <v>1.00874511864818</v>
      </c>
      <c r="E203" s="10">
        <f t="shared" si="42"/>
        <v>150.71660817722457</v>
      </c>
      <c r="F203" s="10">
        <f>((E203/E201)-1)*100</f>
        <v>-14.964676045348357</v>
      </c>
    </row>
    <row r="204" spans="1:6" s="1" customFormat="1" ht="12.75">
      <c r="A204" s="6">
        <f>A203+31</f>
        <v>36250</v>
      </c>
      <c r="B204" s="12">
        <v>142.14</v>
      </c>
      <c r="C204" s="12">
        <f t="shared" si="43"/>
        <v>0.68</v>
      </c>
      <c r="D204" s="10">
        <f t="shared" si="41"/>
        <v>1.0135709711927188</v>
      </c>
      <c r="E204" s="10">
        <f t="shared" si="42"/>
        <v>144.06897784533302</v>
      </c>
      <c r="F204" s="10">
        <f>((E204/E201)-1)*100</f>
        <v>-18.715313786203446</v>
      </c>
    </row>
    <row r="205" spans="1:6" s="1" customFormat="1" ht="12.75">
      <c r="A205" s="6">
        <f>A204+30</f>
        <v>36280</v>
      </c>
      <c r="B205" s="12">
        <v>149.57</v>
      </c>
      <c r="C205" s="12">
        <f t="shared" si="43"/>
        <v>0.68</v>
      </c>
      <c r="D205" s="10">
        <f t="shared" si="41"/>
        <v>1.0181790360480443</v>
      </c>
      <c r="E205" s="10">
        <f t="shared" si="42"/>
        <v>152.28903842170598</v>
      </c>
      <c r="F205" s="10">
        <f>((E205/E201)-1)*100</f>
        <v>-14.07750032627738</v>
      </c>
    </row>
    <row r="206" spans="1:6" s="1" customFormat="1" ht="12.75">
      <c r="A206" s="6">
        <f>A205+31</f>
        <v>36311</v>
      </c>
      <c r="B206" s="12">
        <v>154.79</v>
      </c>
      <c r="C206" s="12">
        <f t="shared" si="43"/>
        <v>0.68</v>
      </c>
      <c r="D206" s="10">
        <f t="shared" si="41"/>
        <v>1.0226519460843042</v>
      </c>
      <c r="E206" s="10">
        <f t="shared" si="42"/>
        <v>158.29629473438945</v>
      </c>
      <c r="F206" s="10">
        <f>((E206/E201)-1)*100</f>
        <v>-10.688165913795167</v>
      </c>
    </row>
    <row r="207" spans="1:6" s="1" customFormat="1" ht="12.75">
      <c r="A207" s="6">
        <f>A206+30</f>
        <v>36341</v>
      </c>
      <c r="B207" s="12">
        <v>156.91</v>
      </c>
      <c r="C207" s="12">
        <f t="shared" si="43"/>
        <v>0.68</v>
      </c>
      <c r="D207" s="10">
        <f t="shared" si="41"/>
        <v>1.0270838071724269</v>
      </c>
      <c r="E207" s="10">
        <f t="shared" si="42"/>
        <v>161.1597201834255</v>
      </c>
      <c r="F207" s="10">
        <f>((E207/E201)-1)*100</f>
        <v>-9.0726020179274</v>
      </c>
    </row>
    <row r="208" spans="1:6" s="1" customFormat="1" ht="12.75">
      <c r="A208" s="6">
        <f>A207+31</f>
        <v>36372</v>
      </c>
      <c r="B208" s="12">
        <v>159.6</v>
      </c>
      <c r="C208" s="12">
        <f t="shared" si="43"/>
        <v>0.68</v>
      </c>
      <c r="D208" s="10">
        <f t="shared" si="41"/>
        <v>1.0314598534686503</v>
      </c>
      <c r="E208" s="10">
        <f t="shared" si="42"/>
        <v>164.6209926135966</v>
      </c>
      <c r="F208" s="10">
        <f>((E208/E201)-1)*100</f>
        <v>-7.119728834576511</v>
      </c>
    </row>
    <row r="209" spans="1:6" s="1" customFormat="1" ht="12.75">
      <c r="A209" s="6">
        <f>A208+31</f>
        <v>36403</v>
      </c>
      <c r="B209" s="12">
        <v>193.67</v>
      </c>
      <c r="C209" s="12">
        <f>8.22/12</f>
        <v>0.685</v>
      </c>
      <c r="D209" s="10">
        <f t="shared" si="41"/>
        <v>1.0351080695043091</v>
      </c>
      <c r="E209" s="10">
        <f t="shared" si="42"/>
        <v>200.46937982089952</v>
      </c>
      <c r="F209" s="10">
        <f>((E209/E201)-1)*100</f>
        <v>13.106172320525555</v>
      </c>
    </row>
    <row r="210" spans="1:6" s="1" customFormat="1" ht="12.75">
      <c r="A210" s="6">
        <f>A209+30</f>
        <v>36433</v>
      </c>
      <c r="B210" s="12">
        <v>183.42</v>
      </c>
      <c r="C210" s="12">
        <f>8.22/12</f>
        <v>0.685</v>
      </c>
      <c r="D210" s="10">
        <f t="shared" si="41"/>
        <v>1.038973782227079</v>
      </c>
      <c r="E210" s="10">
        <f t="shared" si="42"/>
        <v>190.5685711360908</v>
      </c>
      <c r="F210" s="10">
        <f>((E210/E201)-1)*100</f>
        <v>7.520069474210556</v>
      </c>
    </row>
    <row r="211" spans="1:6" s="1" customFormat="1" ht="12.75">
      <c r="A211" s="6">
        <f>A210+31</f>
        <v>36464</v>
      </c>
      <c r="B211" s="12">
        <v>187.58</v>
      </c>
      <c r="C211" s="12">
        <f>8.22/12</f>
        <v>0.685</v>
      </c>
      <c r="D211" s="10">
        <f t="shared" si="41"/>
        <v>1.0427678809626881</v>
      </c>
      <c r="E211" s="10">
        <f t="shared" si="42"/>
        <v>195.60239911098105</v>
      </c>
      <c r="F211" s="10">
        <f>((E211/E201)-1)*100</f>
        <v>10.360189071869241</v>
      </c>
    </row>
    <row r="212" spans="1:6" s="1" customFormat="1" ht="13.5" thickBot="1">
      <c r="A212" s="6">
        <f>A211+30</f>
        <v>36494</v>
      </c>
      <c r="B212" s="12">
        <v>179.48</v>
      </c>
      <c r="C212" s="12">
        <f>8.22/12</f>
        <v>0.685</v>
      </c>
      <c r="D212" s="10">
        <f t="shared" si="41"/>
        <v>1.0467476892892953</v>
      </c>
      <c r="E212" s="10">
        <f t="shared" si="42"/>
        <v>187.8702752736427</v>
      </c>
      <c r="F212" s="10">
        <f>((E212/E201)-1)*100</f>
        <v>5.997672801649001</v>
      </c>
    </row>
    <row r="213" spans="1:6" s="1" customFormat="1" ht="13.5" thickBot="1">
      <c r="A213" s="6">
        <f>A212+31</f>
        <v>36525</v>
      </c>
      <c r="B213" s="12">
        <v>166.84</v>
      </c>
      <c r="C213" s="12">
        <f>8.22/12</f>
        <v>0.685</v>
      </c>
      <c r="D213" s="10">
        <f t="shared" si="41"/>
        <v>1.051045352722304</v>
      </c>
      <c r="E213" s="10">
        <f t="shared" si="42"/>
        <v>175.35640664818922</v>
      </c>
      <c r="F213" s="11">
        <f>((E213/E201)-1)*100</f>
        <v>-1.0627360369052097</v>
      </c>
    </row>
    <row r="214" spans="2:6" s="1" customFormat="1" ht="12.75">
      <c r="B214" s="9"/>
      <c r="C214" s="9"/>
      <c r="D214" s="9"/>
      <c r="E214" s="9"/>
      <c r="F214" s="9"/>
    </row>
    <row r="215" spans="1:6" s="1" customFormat="1" ht="12.75">
      <c r="A215" s="5">
        <v>36495</v>
      </c>
      <c r="B215" s="9">
        <f>B213</f>
        <v>166.84</v>
      </c>
      <c r="C215" s="9"/>
      <c r="D215" s="9">
        <v>1</v>
      </c>
      <c r="E215" s="9">
        <f>B215</f>
        <v>166.84</v>
      </c>
      <c r="F215" s="9"/>
    </row>
    <row r="216" spans="1:6" s="1" customFormat="1" ht="12.75">
      <c r="A216" s="5">
        <v>36526</v>
      </c>
      <c r="B216" s="9">
        <v>159.52</v>
      </c>
      <c r="C216" s="9">
        <f aca="true" t="shared" si="44" ref="C216:C226">8.22/12</f>
        <v>0.685</v>
      </c>
      <c r="D216" s="10">
        <f>D215+((D215*C216)/B216)</f>
        <v>1.0042941323971917</v>
      </c>
      <c r="E216" s="10">
        <f>B216*D216</f>
        <v>160.205</v>
      </c>
      <c r="F216" s="10">
        <f>((E216/E215)-1)*100</f>
        <v>-3.976864061376162</v>
      </c>
    </row>
    <row r="217" spans="1:6" s="1" customFormat="1" ht="12.75">
      <c r="A217" s="5">
        <v>36557</v>
      </c>
      <c r="B217" s="9">
        <v>145.71</v>
      </c>
      <c r="C217" s="9">
        <f t="shared" si="44"/>
        <v>0.685</v>
      </c>
      <c r="D217" s="10">
        <f aca="true" t="shared" si="45" ref="D217:D227">D216+((D216*C217)/B217)</f>
        <v>1.0090154382834868</v>
      </c>
      <c r="E217" s="10">
        <f aca="true" t="shared" si="46" ref="E217:E227">B217*D217</f>
        <v>147.02363951228688</v>
      </c>
      <c r="F217" s="10">
        <f>((E217/E215)-1)*100</f>
        <v>-11.877463730348314</v>
      </c>
    </row>
    <row r="218" spans="1:6" s="1" customFormat="1" ht="12.75">
      <c r="A218" s="5">
        <v>36588</v>
      </c>
      <c r="B218" s="9">
        <v>175.18</v>
      </c>
      <c r="C218" s="9">
        <f t="shared" si="44"/>
        <v>0.685</v>
      </c>
      <c r="D218" s="10">
        <f t="shared" si="45"/>
        <v>1.0129609547535416</v>
      </c>
      <c r="E218" s="10">
        <f t="shared" si="46"/>
        <v>177.45050005372542</v>
      </c>
      <c r="F218" s="10">
        <f>((E218/E215)-1)*100</f>
        <v>6.359685958838068</v>
      </c>
    </row>
    <row r="219" spans="1:6" s="1" customFormat="1" ht="12.75">
      <c r="A219" s="5">
        <v>36619</v>
      </c>
      <c r="B219" s="9">
        <v>168.65</v>
      </c>
      <c r="C219" s="9">
        <f t="shared" si="44"/>
        <v>0.685</v>
      </c>
      <c r="D219" s="10">
        <f t="shared" si="45"/>
        <v>1.0170752639975746</v>
      </c>
      <c r="E219" s="10">
        <f t="shared" si="46"/>
        <v>171.52974327319097</v>
      </c>
      <c r="F219" s="10">
        <f>((E219/E215)-1)*100</f>
        <v>2.8109226044060076</v>
      </c>
    </row>
    <row r="220" spans="1:6" s="1" customFormat="1" ht="12.75">
      <c r="A220" s="5">
        <v>36650</v>
      </c>
      <c r="B220" s="9">
        <v>167.63</v>
      </c>
      <c r="C220" s="9">
        <f t="shared" si="44"/>
        <v>0.685</v>
      </c>
      <c r="D220" s="10">
        <f t="shared" si="45"/>
        <v>1.0212314207465953</v>
      </c>
      <c r="E220" s="10">
        <f t="shared" si="46"/>
        <v>171.18902305975178</v>
      </c>
      <c r="F220" s="10">
        <f>((E220/E215)-1)*100</f>
        <v>2.6067028648715906</v>
      </c>
    </row>
    <row r="221" spans="1:6" s="1" customFormat="1" ht="12.75">
      <c r="A221" s="5">
        <v>36681</v>
      </c>
      <c r="B221" s="9">
        <v>170.45</v>
      </c>
      <c r="C221" s="9">
        <f t="shared" si="44"/>
        <v>0.685</v>
      </c>
      <c r="D221" s="10">
        <f t="shared" si="45"/>
        <v>1.0253355188587185</v>
      </c>
      <c r="E221" s="10">
        <f t="shared" si="46"/>
        <v>174.76843918946855</v>
      </c>
      <c r="F221" s="10">
        <f>((E221/E215)-1)*100</f>
        <v>4.752121307521318</v>
      </c>
    </row>
    <row r="222" spans="1:6" s="1" customFormat="1" ht="12.75">
      <c r="A222" s="5">
        <v>36712</v>
      </c>
      <c r="B222" s="9">
        <v>174.81</v>
      </c>
      <c r="C222" s="9">
        <f t="shared" si="44"/>
        <v>0.685</v>
      </c>
      <c r="D222" s="10">
        <f t="shared" si="45"/>
        <v>1.0293533372353458</v>
      </c>
      <c r="E222" s="10">
        <f t="shared" si="46"/>
        <v>179.94125688211082</v>
      </c>
      <c r="F222" s="10">
        <f>((E222/E215)-1)*100</f>
        <v>7.852587438330616</v>
      </c>
    </row>
    <row r="223" spans="1:6" s="1" customFormat="1" ht="12.75">
      <c r="A223" s="5">
        <v>36743</v>
      </c>
      <c r="B223" s="9">
        <v>184.25</v>
      </c>
      <c r="C223" s="9">
        <f t="shared" si="44"/>
        <v>0.685</v>
      </c>
      <c r="D223" s="10">
        <f t="shared" si="45"/>
        <v>1.033180241094267</v>
      </c>
      <c r="E223" s="10">
        <f t="shared" si="46"/>
        <v>190.3634594216187</v>
      </c>
      <c r="F223" s="10">
        <f>((E223/E215)-1)*100</f>
        <v>14.099412264216426</v>
      </c>
    </row>
    <row r="224" spans="1:6" s="1" customFormat="1" ht="12.75">
      <c r="A224" s="5">
        <v>36774</v>
      </c>
      <c r="B224" s="9">
        <v>205.84</v>
      </c>
      <c r="C224" s="9">
        <f t="shared" si="44"/>
        <v>0.685</v>
      </c>
      <c r="D224" s="10">
        <f t="shared" si="45"/>
        <v>1.0366184866497934</v>
      </c>
      <c r="E224" s="10">
        <f t="shared" si="46"/>
        <v>213.3775492919935</v>
      </c>
      <c r="F224" s="10">
        <f>((E224/E215)-1)*100</f>
        <v>27.893520314069463</v>
      </c>
    </row>
    <row r="225" spans="1:6" s="1" customFormat="1" ht="12.75">
      <c r="A225" s="5">
        <v>36805</v>
      </c>
      <c r="B225" s="9">
        <v>194.63</v>
      </c>
      <c r="C225" s="9">
        <f t="shared" si="44"/>
        <v>0.685</v>
      </c>
      <c r="D225" s="10">
        <f t="shared" si="45"/>
        <v>1.0402668638956194</v>
      </c>
      <c r="E225" s="10">
        <f t="shared" si="46"/>
        <v>202.4671397200044</v>
      </c>
      <c r="F225" s="10">
        <f>((E225/E215)-1)*100</f>
        <v>21.354075593385513</v>
      </c>
    </row>
    <row r="226" spans="1:6" s="1" customFormat="1" ht="13.5" thickBot="1">
      <c r="A226" s="5">
        <v>36836</v>
      </c>
      <c r="B226" s="9">
        <v>208.79</v>
      </c>
      <c r="C226" s="9">
        <f t="shared" si="44"/>
        <v>0.685</v>
      </c>
      <c r="D226" s="10">
        <f t="shared" si="45"/>
        <v>1.0436797802314999</v>
      </c>
      <c r="E226" s="10">
        <f t="shared" si="46"/>
        <v>217.90990131453486</v>
      </c>
      <c r="F226" s="10">
        <f>((E226/E215)-1)*100</f>
        <v>30.61010627819161</v>
      </c>
    </row>
    <row r="227" spans="1:6" s="1" customFormat="1" ht="13.5" thickBot="1">
      <c r="A227" s="5">
        <v>36867</v>
      </c>
      <c r="B227" s="9">
        <v>200.68</v>
      </c>
      <c r="C227" s="9">
        <f>8.22/12</f>
        <v>0.685</v>
      </c>
      <c r="D227" s="10">
        <f t="shared" si="45"/>
        <v>1.0472422710101454</v>
      </c>
      <c r="E227" s="10">
        <f t="shared" si="46"/>
        <v>210.160578946316</v>
      </c>
      <c r="F227" s="11">
        <f>((E227/E215)-1)*100</f>
        <v>25.96534341064254</v>
      </c>
    </row>
    <row r="228" spans="2:6" s="1" customFormat="1" ht="12.75">
      <c r="B228" s="9"/>
      <c r="C228" s="9"/>
      <c r="D228" s="9"/>
      <c r="E228" s="9"/>
      <c r="F228" s="9"/>
    </row>
    <row r="229" spans="1:6" s="1" customFormat="1" ht="12.75">
      <c r="A229" s="5">
        <f>A227</f>
        <v>36867</v>
      </c>
      <c r="B229" s="9">
        <f>B227</f>
        <v>200.68</v>
      </c>
      <c r="C229" s="9"/>
      <c r="D229" s="9">
        <v>1</v>
      </c>
      <c r="E229" s="9">
        <f>B229</f>
        <v>200.68</v>
      </c>
      <c r="F229" s="9"/>
    </row>
    <row r="230" spans="1:6" s="1" customFormat="1" ht="12.75">
      <c r="A230" s="5">
        <f>A229+31</f>
        <v>36898</v>
      </c>
      <c r="B230" s="9">
        <v>207.25</v>
      </c>
      <c r="C230" s="9">
        <f>8.22/12</f>
        <v>0.685</v>
      </c>
      <c r="D230" s="10">
        <f>D229+((D229*C230)/B230)</f>
        <v>1.0033051869722558</v>
      </c>
      <c r="E230" s="10">
        <f>B230*D230</f>
        <v>207.935</v>
      </c>
      <c r="F230" s="10">
        <f>((E230/E229)-1)*100</f>
        <v>3.6152082918078587</v>
      </c>
    </row>
    <row r="231" spans="1:6" s="1" customFormat="1" ht="12.75">
      <c r="A231" s="5">
        <f aca="true" t="shared" si="47" ref="A231:A241">A230+31</f>
        <v>36929</v>
      </c>
      <c r="B231" s="9">
        <v>210.48</v>
      </c>
      <c r="C231" s="9">
        <f aca="true" t="shared" si="48" ref="C231:C241">8.22/12</f>
        <v>0.685</v>
      </c>
      <c r="D231" s="10">
        <f aca="true" t="shared" si="49" ref="D231:D241">D230+((D230*C231)/B231)</f>
        <v>1.006570409573339</v>
      </c>
      <c r="E231" s="10">
        <f aca="true" t="shared" si="50" ref="E231:E241">B231*D231</f>
        <v>211.86293980699637</v>
      </c>
      <c r="F231" s="10">
        <f>((E231/E229)-1)*100</f>
        <v>5.5725233241959105</v>
      </c>
    </row>
    <row r="232" spans="1:6" s="1" customFormat="1" ht="12.75">
      <c r="A232" s="5">
        <f t="shared" si="47"/>
        <v>36960</v>
      </c>
      <c r="B232" s="9">
        <v>200.51</v>
      </c>
      <c r="C232" s="9">
        <f t="shared" si="48"/>
        <v>0.685</v>
      </c>
      <c r="D232" s="10">
        <f t="shared" si="49"/>
        <v>1.0100091444521866</v>
      </c>
      <c r="E232" s="10">
        <f t="shared" si="50"/>
        <v>202.51693355410794</v>
      </c>
      <c r="F232" s="10">
        <f>((E232/E229)-1)*100</f>
        <v>0.915354571510818</v>
      </c>
    </row>
    <row r="233" spans="1:6" s="1" customFormat="1" ht="12.75">
      <c r="A233" s="5">
        <f t="shared" si="47"/>
        <v>36991</v>
      </c>
      <c r="B233" s="9">
        <v>214.32</v>
      </c>
      <c r="C233" s="9">
        <f t="shared" si="48"/>
        <v>0.685</v>
      </c>
      <c r="D233" s="10">
        <f t="shared" si="49"/>
        <v>1.0132372905139155</v>
      </c>
      <c r="E233" s="10">
        <f t="shared" si="50"/>
        <v>217.15701610294238</v>
      </c>
      <c r="F233" s="10">
        <f>((E233/E229)-1)*100</f>
        <v>8.210592038540154</v>
      </c>
    </row>
    <row r="234" spans="1:6" s="1" customFormat="1" ht="12.75">
      <c r="A234" s="5">
        <f t="shared" si="47"/>
        <v>37022</v>
      </c>
      <c r="B234" s="9">
        <v>217.25</v>
      </c>
      <c r="C234" s="9">
        <f t="shared" si="48"/>
        <v>0.685</v>
      </c>
      <c r="D234" s="10">
        <f t="shared" si="49"/>
        <v>1.016432077828079</v>
      </c>
      <c r="E234" s="10">
        <f t="shared" si="50"/>
        <v>220.81986890815017</v>
      </c>
      <c r="F234" s="10">
        <f>((E234/E229)-1)*100</f>
        <v>10.035812690925926</v>
      </c>
    </row>
    <row r="235" spans="1:6" s="1" customFormat="1" ht="12.75">
      <c r="A235" s="5">
        <f t="shared" si="47"/>
        <v>37053</v>
      </c>
      <c r="B235" s="9">
        <v>208.2</v>
      </c>
      <c r="C235" s="9">
        <f t="shared" si="48"/>
        <v>0.685</v>
      </c>
      <c r="D235" s="10">
        <f t="shared" si="49"/>
        <v>1.0197762467680995</v>
      </c>
      <c r="E235" s="10">
        <f t="shared" si="50"/>
        <v>212.3174145771183</v>
      </c>
      <c r="F235" s="10">
        <f>((E235/E229)-1)*100</f>
        <v>5.798990720110786</v>
      </c>
    </row>
    <row r="236" spans="1:6" s="1" customFormat="1" ht="12.75">
      <c r="A236" s="5">
        <f t="shared" si="47"/>
        <v>37084</v>
      </c>
      <c r="B236" s="9">
        <v>188.55</v>
      </c>
      <c r="C236" s="9">
        <f t="shared" si="48"/>
        <v>0.685</v>
      </c>
      <c r="D236" s="10">
        <f t="shared" si="49"/>
        <v>1.0234810822442924</v>
      </c>
      <c r="E236" s="10">
        <f t="shared" si="50"/>
        <v>192.97735805716133</v>
      </c>
      <c r="F236" s="10">
        <f>((E236/E229)-1)*100</f>
        <v>-3.8382708505275476</v>
      </c>
    </row>
    <row r="237" spans="1:6" s="1" customFormat="1" ht="12.75">
      <c r="A237" s="5">
        <f t="shared" si="47"/>
        <v>37115</v>
      </c>
      <c r="B237" s="9">
        <v>192.5</v>
      </c>
      <c r="C237" s="9">
        <f t="shared" si="48"/>
        <v>0.685</v>
      </c>
      <c r="D237" s="10">
        <f t="shared" si="49"/>
        <v>1.027123079861629</v>
      </c>
      <c r="E237" s="10">
        <f t="shared" si="50"/>
        <v>197.7211928733636</v>
      </c>
      <c r="F237" s="10">
        <f>((E237/E229)-1)*100</f>
        <v>-1.4743906351586622</v>
      </c>
    </row>
    <row r="238" spans="1:6" s="1" customFormat="1" ht="12.75">
      <c r="A238" s="5">
        <f t="shared" si="47"/>
        <v>37146</v>
      </c>
      <c r="B238" s="9">
        <v>189.18</v>
      </c>
      <c r="C238" s="9">
        <f t="shared" si="48"/>
        <v>0.685</v>
      </c>
      <c r="D238" s="10">
        <f t="shared" si="49"/>
        <v>1.0308421797120637</v>
      </c>
      <c r="E238" s="10">
        <f t="shared" si="50"/>
        <v>195.01472355792822</v>
      </c>
      <c r="F238" s="10">
        <f>((E238/E229)-1)*100</f>
        <v>-2.823039885425449</v>
      </c>
    </row>
    <row r="239" spans="1:8" s="1" customFormat="1" ht="12.75">
      <c r="A239" s="5">
        <f t="shared" si="47"/>
        <v>37177</v>
      </c>
      <c r="B239" s="9">
        <v>195.53</v>
      </c>
      <c r="C239" s="9">
        <f t="shared" si="48"/>
        <v>0.685</v>
      </c>
      <c r="D239" s="10">
        <f t="shared" si="49"/>
        <v>1.0344535278075109</v>
      </c>
      <c r="E239" s="10">
        <f t="shared" si="50"/>
        <v>202.2666982922026</v>
      </c>
      <c r="F239" s="10">
        <f>((E239/E229)-1)*100</f>
        <v>0.7906608990445374</v>
      </c>
      <c r="H239" s="8"/>
    </row>
    <row r="240" spans="1:6" s="1" customFormat="1" ht="13.5" thickBot="1">
      <c r="A240" s="5">
        <f t="shared" si="47"/>
        <v>37208</v>
      </c>
      <c r="B240" s="9">
        <v>196.63</v>
      </c>
      <c r="C240" s="9">
        <f t="shared" si="48"/>
        <v>0.685</v>
      </c>
      <c r="D240" s="10">
        <f t="shared" si="49"/>
        <v>1.038057253925337</v>
      </c>
      <c r="E240" s="10">
        <f t="shared" si="50"/>
        <v>204.113197839339</v>
      </c>
      <c r="F240" s="10">
        <f>((E240/E229)-1)*100</f>
        <v>1.7107822599855327</v>
      </c>
    </row>
    <row r="241" spans="1:6" s="1" customFormat="1" ht="13.5" thickBot="1">
      <c r="A241" s="5">
        <f t="shared" si="47"/>
        <v>37239</v>
      </c>
      <c r="B241" s="9">
        <v>191.13</v>
      </c>
      <c r="C241" s="9">
        <f t="shared" si="48"/>
        <v>0.685</v>
      </c>
      <c r="D241" s="10">
        <f t="shared" si="49"/>
        <v>1.0417775972463168</v>
      </c>
      <c r="E241" s="10">
        <f t="shared" si="50"/>
        <v>199.11495216168854</v>
      </c>
      <c r="F241" s="11">
        <f>((E241/E229)-1)*100</f>
        <v>-0.7798723531550089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  <rowBreaks count="5" manualBreakCount="5">
    <brk id="46" max="255" man="1"/>
    <brk id="88" max="255" man="1"/>
    <brk id="130" max="255" man="1"/>
    <brk id="172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Foster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58 ELECTRONIC.xls</dc:title>
  <dc:subject/>
  <dc:creator> </dc:creator>
  <cp:keywords/>
  <dc:description/>
  <cp:lastModifiedBy>Penny Gibbs</cp:lastModifiedBy>
  <cp:lastPrinted>2011-06-21T13:52:03Z</cp:lastPrinted>
  <dcterms:created xsi:type="dcterms:W3CDTF">2006-02-03T15:03:25Z</dcterms:created>
  <dcterms:modified xsi:type="dcterms:W3CDTF">2011-06-21T18:05:22Z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211200.000000000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