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90" activeTab="0"/>
  </bookViews>
  <sheets>
    <sheet name="database" sheetId="1" r:id="rId1"/>
    <sheet name="2014 Revenue Summary" sheetId="2" r:id="rId2"/>
  </sheets>
  <definedNames>
    <definedName name="Act09_vs_GRA2011">#REF!</definedName>
    <definedName name="Actual09_vs_CF09">#REF!</definedName>
    <definedName name="CF09_vs_GRA11">#REF!</definedName>
    <definedName name="CF09vsA10">#REF!</definedName>
    <definedName name="GRA2012">#REF!</definedName>
    <definedName name="GRA2012MayvsAug">#REF!</definedName>
    <definedName name="_xlnm.Print_Area" localSheetId="1">'2014 Revenue Summary'!$A$1:$U$49</definedName>
    <definedName name="_xlnm.Print_Titles" localSheetId="0">'database'!$A:$A,'database'!$3:$5</definedName>
    <definedName name="Report">#REF!</definedName>
  </definedNames>
  <calcPr fullCalcOnLoad="1"/>
</workbook>
</file>

<file path=xl/sharedStrings.xml><?xml version="1.0" encoding="utf-8"?>
<sst xmlns="http://schemas.openxmlformats.org/spreadsheetml/2006/main" count="129" uniqueCount="92">
  <si>
    <t>Small General</t>
  </si>
  <si>
    <t>Large General</t>
  </si>
  <si>
    <t>Small Industrial</t>
  </si>
  <si>
    <t>Medium Industrial</t>
  </si>
  <si>
    <t>Municipal</t>
  </si>
  <si>
    <t>Unmetered</t>
  </si>
  <si>
    <t>GRLF</t>
  </si>
  <si>
    <t>Total</t>
  </si>
  <si>
    <t>Residential</t>
  </si>
  <si>
    <t>General Demand</t>
  </si>
  <si>
    <t>Total Commercial</t>
  </si>
  <si>
    <t>Total Industrial</t>
  </si>
  <si>
    <t>Mersey Additional Energy</t>
  </si>
  <si>
    <t>Bowater Mersey</t>
  </si>
  <si>
    <t>ELI  2PT - RTP</t>
  </si>
  <si>
    <t>In Province Total</t>
  </si>
  <si>
    <t>Export</t>
  </si>
  <si>
    <t>Total Electric Sales</t>
  </si>
  <si>
    <t>Losses</t>
  </si>
  <si>
    <t>Total Revenue\System Requirement</t>
  </si>
  <si>
    <t>Rate Classes</t>
  </si>
  <si>
    <t>ATL</t>
  </si>
  <si>
    <t>BTL</t>
  </si>
  <si>
    <t>Total Other</t>
  </si>
  <si>
    <t>FAM classes</t>
  </si>
  <si>
    <t>Total ATL Classes</t>
  </si>
  <si>
    <t>Total BTL Classes</t>
  </si>
  <si>
    <t>A</t>
  </si>
  <si>
    <t>C</t>
  </si>
  <si>
    <t>D</t>
  </si>
  <si>
    <t>E</t>
  </si>
  <si>
    <t>B</t>
  </si>
  <si>
    <t>Amount</t>
  </si>
  <si>
    <t>Variance</t>
  </si>
  <si>
    <t>Increase</t>
  </si>
  <si>
    <t>Grand Total</t>
  </si>
  <si>
    <t>ELI 2P-RTP (debits &amp; credits only)</t>
  </si>
  <si>
    <t>Misc Revenue</t>
  </si>
  <si>
    <t>AA Component</t>
  </si>
  <si>
    <t>BA Component</t>
  </si>
  <si>
    <t xml:space="preserve">  Misc. Revenue\Export Losses</t>
  </si>
  <si>
    <t xml:space="preserve">  Losses</t>
  </si>
  <si>
    <t xml:space="preserve">  Total</t>
  </si>
  <si>
    <t>LED SL Capital Related Costs</t>
  </si>
  <si>
    <t>LED SL LTC</t>
  </si>
  <si>
    <t>Total LED</t>
  </si>
  <si>
    <t>BTL (Electric)</t>
  </si>
  <si>
    <t>Total BTL (Electric) Classes</t>
  </si>
  <si>
    <t>N/A</t>
  </si>
  <si>
    <t>Increase (%) over Total Cost of Power</t>
  </si>
  <si>
    <t>F</t>
  </si>
  <si>
    <t>G</t>
  </si>
  <si>
    <t>I</t>
  </si>
  <si>
    <t>M</t>
  </si>
  <si>
    <t>N</t>
  </si>
  <si>
    <t>O</t>
  </si>
  <si>
    <t>P</t>
  </si>
  <si>
    <t>Q</t>
  </si>
  <si>
    <t>J</t>
  </si>
  <si>
    <t>K</t>
  </si>
  <si>
    <t>S</t>
  </si>
  <si>
    <t>ELI  2PT - RTP*</t>
  </si>
  <si>
    <t>Columns</t>
  </si>
  <si>
    <t>H</t>
  </si>
  <si>
    <t>L</t>
  </si>
  <si>
    <t>R</t>
  </si>
  <si>
    <t>Large Industrial - Firm</t>
  </si>
  <si>
    <t>Large Industrial - Interruptible</t>
  </si>
  <si>
    <t>Total Large Industrial</t>
  </si>
  <si>
    <t>Large Industrial (Total)</t>
  </si>
  <si>
    <t>2013 Amount</t>
  </si>
  <si>
    <t>LRT</t>
  </si>
  <si>
    <t>2013 Revenues</t>
  </si>
  <si>
    <t>2013 at Current Rates</t>
  </si>
  <si>
    <t>2013 at Proposed Rates</t>
  </si>
  <si>
    <t>2013 BA</t>
  </si>
  <si>
    <t>2014 Revenues</t>
  </si>
  <si>
    <t>2014 at Current Rates</t>
  </si>
  <si>
    <t>2014 at Proposed Rates</t>
  </si>
  <si>
    <t>2014 Sales (GWh's)</t>
  </si>
  <si>
    <t>2014 Revenue at current rates before cost adjustment clauses</t>
  </si>
  <si>
    <t>2013 FAM BA</t>
  </si>
  <si>
    <t xml:space="preserve">Revenue at current rates including 2013 BA </t>
  </si>
  <si>
    <t>2013 FAM AA</t>
  </si>
  <si>
    <t>2014 Amount</t>
  </si>
  <si>
    <t xml:space="preserve">2014 Revenue reflective of all FAM components </t>
  </si>
  <si>
    <t>* The figures for LRT have been adjusted to reflect the correct load</t>
  </si>
  <si>
    <t>LED SL Capital Costs**</t>
  </si>
  <si>
    <t>2014 at Current Rates - Rate Stablization</t>
  </si>
  <si>
    <t>**LED Capital Costs will be updated at the time of the capital work order</t>
  </si>
  <si>
    <t>Proposed Revenues 2014 Before Riders and with Rate Stabilization</t>
  </si>
  <si>
    <t>2014 REVENUE INCREASE ANALYSIS - RATE STABILIZATION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</si>
</sst>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??_-;_-@_-"/>
    <numFmt numFmtId="165" formatCode="[$$-409]#,##0;[Red]\-[$$-409]#,##0"/>
    <numFmt numFmtId="166" formatCode="#,##0.0_);[Red]\(#,##0.0\)"/>
    <numFmt numFmtId="167" formatCode="#,##0.000_);[Red]\(#,##0.000\)"/>
    <numFmt numFmtId="168" formatCode="0.0%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_);_(* \(#,##0.000\);_(* &quot;-&quot;???_);_(@_)"/>
    <numFmt numFmtId="174" formatCode="&quot;$&quot;#,##0.0_);[Red]\(&quot;$&quot;#,##0.0\)"/>
    <numFmt numFmtId="175" formatCode="0.0000000000"/>
    <numFmt numFmtId="176" formatCode="0.0000000000000000%"/>
    <numFmt numFmtId="177" formatCode="&quot;$&quot;#,##0.000_);[Red]\(&quot;$&quot;#,##0.000\)"/>
    <numFmt numFmtId="178" formatCode="0.000%"/>
    <numFmt numFmtId="179" formatCode="#,##0.0_);\(#,##0.0\)"/>
    <numFmt numFmtId="180" formatCode="0.0"/>
    <numFmt numFmtId="181" formatCode="&quot;$&quot;#,##0"/>
    <numFmt numFmtId="182" formatCode="_(* #,##0.0000_);_(* \(#,##0.0000\);_(* &quot;-&quot;??_);_(@_)"/>
    <numFmt numFmtId="183" formatCode="0.000"/>
    <numFmt numFmtId="184" formatCode="0.0000"/>
    <numFmt numFmtId="185" formatCode="#,##0.0000000_);\(#,##0.0000000\)"/>
    <numFmt numFmtId="186" formatCode="#,##0.000000_);\(#,##0.000000\)"/>
    <numFmt numFmtId="187" formatCode="#,##0.00000_);\(#,##0.00000\)"/>
    <numFmt numFmtId="188" formatCode="#,##0.0000_);\(#,##0.0000\)"/>
    <numFmt numFmtId="189" formatCode="#,##0.000_);\(#,##0.000\)"/>
    <numFmt numFmtId="190" formatCode="&quot;$&quot;#,##0.0000_);[Red]\(&quot;$&quot;#,##0.0000\)"/>
    <numFmt numFmtId="191" formatCode="&quot;$&quot;#,##0.0000"/>
    <numFmt numFmtId="192" formatCode="&quot;$&quot;#,##0.00"/>
    <numFmt numFmtId="193" formatCode="&quot;$&quot;#,##0.0"/>
    <numFmt numFmtId="194" formatCode="0.0000_);[Red]\(0.0000\)"/>
    <numFmt numFmtId="195" formatCode="0.0000000%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6" fontId="0" fillId="0" borderId="0" xfId="0" applyNumberFormat="1" applyBorder="1" applyAlignment="1">
      <alignment/>
    </xf>
    <xf numFmtId="166" fontId="1" fillId="0" borderId="13" xfId="42" applyNumberFormat="1" applyFont="1" applyFill="1" applyBorder="1" applyAlignment="1">
      <alignment horizontal="right"/>
    </xf>
    <xf numFmtId="6" fontId="1" fillId="0" borderId="0" xfId="42" applyNumberFormat="1" applyFont="1" applyFill="1" applyBorder="1" applyAlignment="1">
      <alignment horizontal="right"/>
    </xf>
    <xf numFmtId="166" fontId="0" fillId="0" borderId="13" xfId="42" applyNumberFormat="1" applyFont="1" applyFill="1" applyBorder="1" applyAlignment="1">
      <alignment horizontal="right"/>
    </xf>
    <xf numFmtId="6" fontId="0" fillId="0" borderId="0" xfId="42" applyNumberFormat="1" applyFont="1" applyFill="1" applyBorder="1" applyAlignment="1">
      <alignment horizontal="right"/>
    </xf>
    <xf numFmtId="166" fontId="8" fillId="0" borderId="13" xfId="42" applyNumberFormat="1" applyFont="1" applyFill="1" applyBorder="1" applyAlignment="1">
      <alignment horizontal="right"/>
    </xf>
    <xf numFmtId="6" fontId="8" fillId="0" borderId="0" xfId="42" applyNumberFormat="1" applyFont="1" applyFill="1" applyBorder="1" applyAlignment="1">
      <alignment horizontal="right"/>
    </xf>
    <xf numFmtId="6" fontId="1" fillId="0" borderId="0" xfId="44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6" fontId="0" fillId="0" borderId="13" xfId="0" applyNumberForma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6" fontId="1" fillId="0" borderId="13" xfId="42" applyNumberFormat="1" applyFont="1" applyFill="1" applyBorder="1" applyAlignment="1">
      <alignment horizontal="right"/>
    </xf>
    <xf numFmtId="6" fontId="0" fillId="0" borderId="13" xfId="42" applyNumberFormat="1" applyFont="1" applyFill="1" applyBorder="1" applyAlignment="1">
      <alignment horizontal="right"/>
    </xf>
    <xf numFmtId="6" fontId="8" fillId="0" borderId="13" xfId="42" applyNumberFormat="1" applyFont="1" applyFill="1" applyBorder="1" applyAlignment="1">
      <alignment horizontal="right"/>
    </xf>
    <xf numFmtId="6" fontId="1" fillId="0" borderId="13" xfId="44" applyNumberFormat="1" applyFont="1" applyFill="1" applyBorder="1" applyAlignment="1">
      <alignment horizontal="right"/>
    </xf>
    <xf numFmtId="168" fontId="1" fillId="0" borderId="9" xfId="64" applyNumberFormat="1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3" xfId="0" applyNumberFormat="1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68" fontId="8" fillId="0" borderId="9" xfId="64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168" fontId="0" fillId="0" borderId="9" xfId="64" applyNumberFormat="1" applyFont="1" applyBorder="1" applyAlignment="1">
      <alignment/>
    </xf>
    <xf numFmtId="168" fontId="0" fillId="0" borderId="9" xfId="64" applyNumberFormat="1" applyBorder="1" applyAlignment="1">
      <alignment/>
    </xf>
    <xf numFmtId="168" fontId="0" fillId="0" borderId="15" xfId="64" applyNumberFormat="1" applyBorder="1" applyAlignment="1">
      <alignment/>
    </xf>
    <xf numFmtId="6" fontId="0" fillId="0" borderId="0" xfId="0" applyNumberFormat="1" applyAlignment="1">
      <alignment/>
    </xf>
    <xf numFmtId="168" fontId="0" fillId="0" borderId="9" xfId="64" applyNumberFormat="1" applyFill="1" applyBorder="1" applyAlignment="1">
      <alignment/>
    </xf>
    <xf numFmtId="168" fontId="8" fillId="0" borderId="9" xfId="64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 horizontal="center" wrapText="1"/>
    </xf>
    <xf numFmtId="39" fontId="0" fillId="0" borderId="0" xfId="0" applyNumberFormat="1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8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37" fontId="0" fillId="0" borderId="12" xfId="0" applyNumberFormat="1" applyBorder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13" xfId="0" applyFont="1" applyFill="1" applyBorder="1" applyAlignment="1" applyProtection="1">
      <alignment wrapText="1"/>
      <protection locked="0"/>
    </xf>
    <xf numFmtId="168" fontId="0" fillId="0" borderId="0" xfId="0" applyNumberFormat="1" applyAlignment="1">
      <alignment/>
    </xf>
    <xf numFmtId="168" fontId="0" fillId="0" borderId="9" xfId="0" applyNumberFormat="1" applyBorder="1" applyAlignment="1">
      <alignment/>
    </xf>
    <xf numFmtId="181" fontId="1" fillId="0" borderId="0" xfId="42" applyNumberFormat="1" applyFont="1" applyFill="1" applyBorder="1" applyAlignment="1">
      <alignment horizontal="right"/>
    </xf>
    <xf numFmtId="181" fontId="0" fillId="0" borderId="0" xfId="42" applyNumberFormat="1" applyFont="1" applyFill="1" applyBorder="1" applyAlignment="1">
      <alignment horizontal="right"/>
    </xf>
    <xf numFmtId="181" fontId="8" fillId="0" borderId="0" xfId="42" applyNumberFormat="1" applyFont="1" applyFill="1" applyBorder="1" applyAlignment="1">
      <alignment horizontal="right"/>
    </xf>
    <xf numFmtId="181" fontId="1" fillId="0" borderId="0" xfId="44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71" fontId="0" fillId="0" borderId="0" xfId="42" applyNumberFormat="1" applyFont="1" applyAlignment="1">
      <alignment/>
    </xf>
    <xf numFmtId="8" fontId="0" fillId="0" borderId="0" xfId="0" applyNumberFormat="1" applyAlignment="1">
      <alignment horizontal="right"/>
    </xf>
    <xf numFmtId="181" fontId="0" fillId="0" borderId="0" xfId="0" applyNumberFormat="1" applyAlignment="1">
      <alignment/>
    </xf>
    <xf numFmtId="0" fontId="10" fillId="0" borderId="1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13" xfId="0" applyFont="1" applyFill="1" applyBorder="1" applyAlignment="1" applyProtection="1">
      <alignment/>
      <protection locked="0"/>
    </xf>
    <xf numFmtId="166" fontId="11" fillId="0" borderId="13" xfId="42" applyNumberFormat="1" applyFont="1" applyFill="1" applyBorder="1" applyAlignment="1">
      <alignment horizontal="right"/>
    </xf>
    <xf numFmtId="181" fontId="11" fillId="0" borderId="0" xfId="42" applyNumberFormat="1" applyFont="1" applyFill="1" applyBorder="1" applyAlignment="1">
      <alignment horizontal="right"/>
    </xf>
    <xf numFmtId="6" fontId="11" fillId="0" borderId="0" xfId="42" applyNumberFormat="1" applyFont="1" applyFill="1" applyBorder="1" applyAlignment="1">
      <alignment horizontal="right"/>
    </xf>
    <xf numFmtId="6" fontId="11" fillId="0" borderId="13" xfId="42" applyNumberFormat="1" applyFont="1" applyFill="1" applyBorder="1" applyAlignment="1">
      <alignment horizontal="right"/>
    </xf>
    <xf numFmtId="168" fontId="11" fillId="0" borderId="9" xfId="64" applyNumberFormat="1" applyFont="1" applyBorder="1" applyAlignment="1">
      <alignment/>
    </xf>
    <xf numFmtId="166" fontId="12" fillId="0" borderId="13" xfId="42" applyNumberFormat="1" applyFont="1" applyFill="1" applyBorder="1" applyAlignment="1">
      <alignment horizontal="right"/>
    </xf>
    <xf numFmtId="181" fontId="12" fillId="0" borderId="0" xfId="42" applyNumberFormat="1" applyFont="1" applyFill="1" applyBorder="1" applyAlignment="1">
      <alignment horizontal="right"/>
    </xf>
    <xf numFmtId="6" fontId="12" fillId="0" borderId="0" xfId="42" applyNumberFormat="1" applyFont="1" applyFill="1" applyBorder="1" applyAlignment="1">
      <alignment horizontal="right"/>
    </xf>
    <xf numFmtId="6" fontId="12" fillId="0" borderId="13" xfId="42" applyNumberFormat="1" applyFont="1" applyFill="1" applyBorder="1" applyAlignment="1">
      <alignment horizontal="right"/>
    </xf>
    <xf numFmtId="168" fontId="12" fillId="0" borderId="9" xfId="64" applyNumberFormat="1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6" fontId="1" fillId="0" borderId="0" xfId="0" applyNumberFormat="1" applyFont="1" applyBorder="1" applyAlignment="1">
      <alignment/>
    </xf>
    <xf numFmtId="168" fontId="1" fillId="0" borderId="9" xfId="64" applyNumberFormat="1" applyFont="1" applyBorder="1" applyAlignment="1">
      <alignment horizontal="right"/>
    </xf>
    <xf numFmtId="168" fontId="8" fillId="0" borderId="9" xfId="64" applyNumberFormat="1" applyFont="1" applyBorder="1" applyAlignment="1">
      <alignment horizontal="right"/>
    </xf>
    <xf numFmtId="5" fontId="1" fillId="0" borderId="0" xfId="42" applyNumberFormat="1" applyFont="1" applyFill="1" applyBorder="1" applyAlignment="1">
      <alignment horizontal="right"/>
    </xf>
    <xf numFmtId="6" fontId="0" fillId="0" borderId="0" xfId="0" applyNumberFormat="1" applyAlignment="1">
      <alignment horizontal="right"/>
    </xf>
    <xf numFmtId="181" fontId="1" fillId="0" borderId="13" xfId="42" applyNumberFormat="1" applyFont="1" applyFill="1" applyBorder="1" applyAlignment="1">
      <alignment horizontal="right"/>
    </xf>
    <xf numFmtId="181" fontId="0" fillId="0" borderId="13" xfId="42" applyNumberFormat="1" applyFont="1" applyFill="1" applyBorder="1" applyAlignment="1">
      <alignment horizontal="right"/>
    </xf>
    <xf numFmtId="181" fontId="8" fillId="0" borderId="13" xfId="42" applyNumberFormat="1" applyFont="1" applyFill="1" applyBorder="1" applyAlignment="1">
      <alignment horizontal="right"/>
    </xf>
    <xf numFmtId="181" fontId="11" fillId="0" borderId="13" xfId="42" applyNumberFormat="1" applyFont="1" applyFill="1" applyBorder="1" applyAlignment="1">
      <alignment horizontal="right"/>
    </xf>
    <xf numFmtId="181" fontId="12" fillId="0" borderId="13" xfId="42" applyNumberFormat="1" applyFont="1" applyFill="1" applyBorder="1" applyAlignment="1">
      <alignment horizontal="right"/>
    </xf>
    <xf numFmtId="181" fontId="1" fillId="0" borderId="13" xfId="44" applyNumberFormat="1" applyFont="1" applyFill="1" applyBorder="1" applyAlignment="1">
      <alignment horizontal="right"/>
    </xf>
    <xf numFmtId="168" fontId="11" fillId="0" borderId="9" xfId="64" applyNumberFormat="1" applyFont="1" applyFill="1" applyBorder="1" applyAlignment="1">
      <alignment/>
    </xf>
    <xf numFmtId="168" fontId="12" fillId="0" borderId="9" xfId="64" applyNumberFormat="1" applyFont="1" applyFill="1" applyBorder="1" applyAlignment="1">
      <alignment/>
    </xf>
    <xf numFmtId="181" fontId="8" fillId="0" borderId="0" xfId="42" applyNumberFormat="1" applyFont="1" applyFill="1" applyBorder="1" applyAlignment="1">
      <alignment horizontal="right"/>
    </xf>
    <xf numFmtId="5" fontId="0" fillId="0" borderId="0" xfId="42" applyNumberFormat="1" applyFont="1" applyFill="1" applyBorder="1" applyAlignment="1">
      <alignment horizontal="right"/>
    </xf>
    <xf numFmtId="5" fontId="8" fillId="0" borderId="0" xfId="42" applyNumberFormat="1" applyFont="1" applyFill="1" applyBorder="1" applyAlignment="1">
      <alignment horizontal="right"/>
    </xf>
    <xf numFmtId="5" fontId="11" fillId="0" borderId="0" xfId="42" applyNumberFormat="1" applyFont="1" applyFill="1" applyBorder="1" applyAlignment="1">
      <alignment horizontal="right"/>
    </xf>
    <xf numFmtId="5" fontId="12" fillId="0" borderId="0" xfId="42" applyNumberFormat="1" applyFont="1" applyFill="1" applyBorder="1" applyAlignment="1">
      <alignment horizontal="right"/>
    </xf>
    <xf numFmtId="5" fontId="1" fillId="0" borderId="0" xfId="44" applyNumberFormat="1" applyFont="1" applyFill="1" applyBorder="1" applyAlignment="1">
      <alignment horizontal="right"/>
    </xf>
    <xf numFmtId="0" fontId="9" fillId="0" borderId="17" xfId="0" applyFont="1" applyBorder="1" applyAlignment="1">
      <alignment/>
    </xf>
    <xf numFmtId="0" fontId="13" fillId="0" borderId="17" xfId="0" applyFont="1" applyFill="1" applyBorder="1" applyAlignment="1">
      <alignment horizontal="center" wrapText="1"/>
    </xf>
    <xf numFmtId="0" fontId="1" fillId="0" borderId="17" xfId="0" applyFont="1" applyBorder="1" applyAlignment="1">
      <alignment/>
    </xf>
    <xf numFmtId="0" fontId="0" fillId="0" borderId="17" xfId="0" applyFill="1" applyBorder="1" applyAlignment="1">
      <alignment wrapText="1"/>
    </xf>
    <xf numFmtId="0" fontId="0" fillId="0" borderId="17" xfId="0" applyBorder="1" applyAlignment="1">
      <alignment/>
    </xf>
    <xf numFmtId="0" fontId="1" fillId="0" borderId="17" xfId="0" applyFont="1" applyFill="1" applyBorder="1" applyAlignment="1" applyProtection="1">
      <alignment/>
      <protection locked="0"/>
    </xf>
    <xf numFmtId="6" fontId="1" fillId="0" borderId="17" xfId="0" applyNumberFormat="1" applyFont="1" applyBorder="1" applyAlignment="1">
      <alignment/>
    </xf>
    <xf numFmtId="0" fontId="0" fillId="0" borderId="17" xfId="0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6" fontId="0" fillId="0" borderId="17" xfId="0" applyNumberFormat="1" applyBorder="1" applyAlignment="1">
      <alignment/>
    </xf>
    <xf numFmtId="0" fontId="8" fillId="0" borderId="17" xfId="0" applyFont="1" applyFill="1" applyBorder="1" applyAlignment="1" applyProtection="1">
      <alignment/>
      <protection locked="0"/>
    </xf>
    <xf numFmtId="6" fontId="8" fillId="0" borderId="17" xfId="0" applyNumberFormat="1" applyFont="1" applyBorder="1" applyAlignment="1">
      <alignment/>
    </xf>
    <xf numFmtId="0" fontId="1" fillId="0" borderId="17" xfId="0" applyFont="1" applyFill="1" applyBorder="1" applyAlignment="1" applyProtection="1">
      <alignment wrapText="1"/>
      <protection locked="0"/>
    </xf>
    <xf numFmtId="0" fontId="0" fillId="0" borderId="17" xfId="0" applyFont="1" applyBorder="1" applyAlignment="1">
      <alignment/>
    </xf>
    <xf numFmtId="6" fontId="0" fillId="0" borderId="17" xfId="0" applyNumberFormat="1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6" fontId="8" fillId="0" borderId="17" xfId="0" applyNumberFormat="1" applyFont="1" applyBorder="1" applyAlignment="1">
      <alignment/>
    </xf>
    <xf numFmtId="6" fontId="1" fillId="0" borderId="17" xfId="42" applyNumberFormat="1" applyFont="1" applyFill="1" applyBorder="1" applyAlignment="1">
      <alignment horizontal="right"/>
    </xf>
    <xf numFmtId="0" fontId="1" fillId="0" borderId="17" xfId="0" applyFont="1" applyBorder="1" applyAlignment="1">
      <alignment wrapText="1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Output Amounts" xfId="59"/>
    <cellStyle name="Output Column Headings" xfId="60"/>
    <cellStyle name="Output Line Items" xfId="61"/>
    <cellStyle name="Output Report Heading" xfId="62"/>
    <cellStyle name="Output Report Title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3"/>
  <sheetViews>
    <sheetView tabSelected="1" view="pageBreakPreview" zoomScale="60" zoomScalePageLayoutView="0" workbookViewId="0" topLeftCell="A1">
      <selection activeCell="B5" sqref="B5"/>
    </sheetView>
  </sheetViews>
  <sheetFormatPr defaultColWidth="9.140625" defaultRowHeight="12.75"/>
  <cols>
    <col min="1" max="1" width="41.28125" style="1" bestFit="1" customWidth="1"/>
    <col min="2" max="2" width="19.421875" style="1" bestFit="1" customWidth="1"/>
    <col min="3" max="3" width="21.8515625" style="1" bestFit="1" customWidth="1"/>
    <col min="4" max="4" width="16.28125" style="1" bestFit="1" customWidth="1"/>
    <col min="5" max="5" width="20.57421875" style="1" bestFit="1" customWidth="1"/>
    <col min="6" max="6" width="22.00390625" style="1" bestFit="1" customWidth="1"/>
    <col min="7" max="7" width="23.00390625" style="1" bestFit="1" customWidth="1"/>
    <col min="8" max="16384" width="9.140625" style="1" customWidth="1"/>
  </cols>
  <sheetData>
    <row r="3" spans="1:7" s="12" customFormat="1" ht="18">
      <c r="A3" s="113" t="s">
        <v>20</v>
      </c>
      <c r="B3" s="133" t="s">
        <v>72</v>
      </c>
      <c r="C3" s="133"/>
      <c r="D3" s="133"/>
      <c r="E3" s="133" t="s">
        <v>76</v>
      </c>
      <c r="F3" s="133"/>
      <c r="G3" s="133"/>
    </row>
    <row r="4" spans="1:7" s="12" customFormat="1" ht="26.25" customHeight="1">
      <c r="A4" s="113"/>
      <c r="B4" s="114" t="s">
        <v>73</v>
      </c>
      <c r="C4" s="114" t="s">
        <v>74</v>
      </c>
      <c r="D4" s="113"/>
      <c r="E4" s="113"/>
      <c r="F4" s="113"/>
      <c r="G4" s="113"/>
    </row>
    <row r="5" spans="1:7" ht="62.25" customHeight="1">
      <c r="A5" s="115"/>
      <c r="B5" s="116" t="s">
        <v>7</v>
      </c>
      <c r="C5" s="116" t="s">
        <v>7</v>
      </c>
      <c r="D5" s="116" t="s">
        <v>75</v>
      </c>
      <c r="E5" s="116" t="s">
        <v>77</v>
      </c>
      <c r="F5" s="116" t="s">
        <v>88</v>
      </c>
      <c r="G5" s="116" t="s">
        <v>78</v>
      </c>
    </row>
    <row r="6" spans="1:7" ht="18" customHeight="1">
      <c r="A6" s="115" t="s">
        <v>21</v>
      </c>
      <c r="B6" s="117"/>
      <c r="C6" s="117"/>
      <c r="D6" s="117"/>
      <c r="E6" s="117"/>
      <c r="F6" s="117"/>
      <c r="G6" s="117"/>
    </row>
    <row r="7" spans="1:7" s="2" customFormat="1" ht="12.75">
      <c r="A7" s="118" t="s">
        <v>8</v>
      </c>
      <c r="B7" s="119">
        <v>588717083.202889</v>
      </c>
      <c r="C7" s="119">
        <v>656556742.5019921</v>
      </c>
      <c r="D7" s="119">
        <v>11528175.200903017</v>
      </c>
      <c r="E7" s="119">
        <v>654440058.8531013</v>
      </c>
      <c r="F7" s="119">
        <v>623421598.8704519</v>
      </c>
      <c r="G7" s="119">
        <v>689767669.2582232</v>
      </c>
    </row>
    <row r="8" spans="1:7" ht="6" customHeight="1">
      <c r="A8" s="120"/>
      <c r="B8" s="117"/>
      <c r="C8" s="117"/>
      <c r="D8" s="117"/>
      <c r="E8" s="117"/>
      <c r="F8" s="117"/>
      <c r="G8" s="117"/>
    </row>
    <row r="9" spans="1:7" ht="12.75">
      <c r="A9" s="121" t="s">
        <v>0</v>
      </c>
      <c r="B9" s="122">
        <v>31454191.894843403</v>
      </c>
      <c r="C9" s="122">
        <v>35078754.0530633</v>
      </c>
      <c r="D9" s="122">
        <v>663039.8340477052</v>
      </c>
      <c r="E9" s="122">
        <v>34808029.3275076</v>
      </c>
      <c r="F9" s="122">
        <v>33148114.468964506</v>
      </c>
      <c r="G9" s="122">
        <v>36687016.53560616</v>
      </c>
    </row>
    <row r="10" spans="1:7" ht="12.75">
      <c r="A10" s="120" t="s">
        <v>9</v>
      </c>
      <c r="B10" s="122">
        <v>275984112.15196776</v>
      </c>
      <c r="C10" s="122">
        <v>307786600.43461645</v>
      </c>
      <c r="D10" s="122">
        <v>7640243.683163606</v>
      </c>
      <c r="E10" s="122">
        <v>305474364.231228</v>
      </c>
      <c r="F10" s="122">
        <v>293286628.45813966</v>
      </c>
      <c r="G10" s="122">
        <v>321964307.32429814</v>
      </c>
    </row>
    <row r="11" spans="1:7" s="11" customFormat="1" ht="12.75">
      <c r="A11" s="123" t="s">
        <v>1</v>
      </c>
      <c r="B11" s="124">
        <v>37795518.90171224</v>
      </c>
      <c r="C11" s="124">
        <v>42150811.44966321</v>
      </c>
      <c r="D11" s="124">
        <v>1341147.4854338877</v>
      </c>
      <c r="E11" s="124">
        <v>41426211.24046265</v>
      </c>
      <c r="F11" s="124">
        <v>39770145.45750196</v>
      </c>
      <c r="G11" s="124">
        <v>43662457.37403231</v>
      </c>
    </row>
    <row r="12" spans="1:7" s="2" customFormat="1" ht="12.75">
      <c r="A12" s="118" t="s">
        <v>10</v>
      </c>
      <c r="B12" s="119">
        <f aca="true" t="shared" si="0" ref="B12:G12">SUM(B9:B11)</f>
        <v>345233822.9485234</v>
      </c>
      <c r="C12" s="119">
        <f t="shared" si="0"/>
        <v>385016165.93734294</v>
      </c>
      <c r="D12" s="119">
        <f t="shared" si="0"/>
        <v>9644431.002645198</v>
      </c>
      <c r="E12" s="119">
        <f t="shared" si="0"/>
        <v>381708604.79919827</v>
      </c>
      <c r="F12" s="119">
        <f t="shared" si="0"/>
        <v>366204888.3846061</v>
      </c>
      <c r="G12" s="119">
        <f t="shared" si="0"/>
        <v>402313781.2339366</v>
      </c>
    </row>
    <row r="13" spans="1:7" ht="5.25" customHeight="1">
      <c r="A13" s="120"/>
      <c r="B13" s="117"/>
      <c r="C13" s="117"/>
      <c r="D13" s="117"/>
      <c r="E13" s="117"/>
      <c r="F13" s="117"/>
      <c r="G13" s="117"/>
    </row>
    <row r="14" spans="1:7" ht="12.75">
      <c r="A14" s="120" t="s">
        <v>2</v>
      </c>
      <c r="B14" s="122">
        <v>28459581.73596959</v>
      </c>
      <c r="C14" s="122">
        <v>31739065.86145026</v>
      </c>
      <c r="D14" s="122">
        <v>827566.6761845871</v>
      </c>
      <c r="E14" s="122">
        <v>31779026.180414997</v>
      </c>
      <c r="F14" s="122">
        <v>30276492.807086613</v>
      </c>
      <c r="G14" s="122">
        <v>33494503.46633076</v>
      </c>
    </row>
    <row r="15" spans="1:7" ht="12.75">
      <c r="A15" s="120" t="s">
        <v>3</v>
      </c>
      <c r="B15" s="122">
        <v>47959530.119432814</v>
      </c>
      <c r="C15" s="122">
        <v>53486052.580351666</v>
      </c>
      <c r="D15" s="122">
        <v>1564646.3316729537</v>
      </c>
      <c r="E15" s="122">
        <v>54358393.10344561</v>
      </c>
      <c r="F15" s="122">
        <v>51945620.315645605</v>
      </c>
      <c r="G15" s="122">
        <v>57292736.910535276</v>
      </c>
    </row>
    <row r="16" spans="1:7" ht="12.75">
      <c r="A16" s="120" t="s">
        <v>66</v>
      </c>
      <c r="B16" s="122">
        <v>18598529.043499067</v>
      </c>
      <c r="C16" s="122">
        <v>20592921.824057747</v>
      </c>
      <c r="D16" s="122">
        <f>D18*0.244</f>
        <v>747144.0117227418</v>
      </c>
      <c r="E16" s="122">
        <v>20861588.385980446</v>
      </c>
      <c r="F16" s="122">
        <v>20121151.526257418</v>
      </c>
      <c r="G16" s="122">
        <v>21922990.001528993</v>
      </c>
    </row>
    <row r="17" spans="1:7" ht="12.75">
      <c r="A17" s="120" t="s">
        <v>67</v>
      </c>
      <c r="B17" s="122">
        <v>55222022.54854539</v>
      </c>
      <c r="C17" s="122">
        <v>61734196.35516739</v>
      </c>
      <c r="D17" s="122">
        <f>D18-D16</f>
        <v>2314921.610091774</v>
      </c>
      <c r="E17" s="122">
        <v>61510900.05910061</v>
      </c>
      <c r="F17" s="122">
        <v>59131221.26493932</v>
      </c>
      <c r="G17" s="122">
        <v>64921417.519785345</v>
      </c>
    </row>
    <row r="18" spans="1:7" ht="12.75">
      <c r="A18" s="120" t="s">
        <v>69</v>
      </c>
      <c r="B18" s="122">
        <f>B16+B17</f>
        <v>73820551.59204446</v>
      </c>
      <c r="C18" s="122">
        <f>C16+C17</f>
        <v>82327118.17922513</v>
      </c>
      <c r="D18" s="122">
        <v>3062065.6218145154</v>
      </c>
      <c r="E18" s="122">
        <f>E16+E17</f>
        <v>82372488.44508106</v>
      </c>
      <c r="F18" s="122">
        <f>F16+F17</f>
        <v>79252372.79119673</v>
      </c>
      <c r="G18" s="122">
        <f>G16+G17</f>
        <v>86844407.52131434</v>
      </c>
    </row>
    <row r="19" spans="1:7" s="11" customFormat="1" ht="12.75">
      <c r="A19" s="123" t="s">
        <v>14</v>
      </c>
      <c r="B19" s="124">
        <v>0</v>
      </c>
      <c r="C19" s="124">
        <v>0</v>
      </c>
      <c r="D19" s="124">
        <v>0</v>
      </c>
      <c r="E19" s="124">
        <v>0</v>
      </c>
      <c r="F19" s="124"/>
      <c r="G19" s="124">
        <v>0</v>
      </c>
    </row>
    <row r="20" spans="1:7" s="2" customFormat="1" ht="12.75">
      <c r="A20" s="118" t="s">
        <v>11</v>
      </c>
      <c r="B20" s="119">
        <f aca="true" t="shared" si="1" ref="B20:G20">B14+B15+B18+B19</f>
        <v>150239663.44744688</v>
      </c>
      <c r="C20" s="119">
        <f t="shared" si="1"/>
        <v>167552236.62102705</v>
      </c>
      <c r="D20" s="119">
        <f t="shared" si="1"/>
        <v>5454278.629672056</v>
      </c>
      <c r="E20" s="119">
        <f t="shared" si="1"/>
        <v>168509907.72894168</v>
      </c>
      <c r="F20" s="119">
        <f t="shared" si="1"/>
        <v>161474485.91392896</v>
      </c>
      <c r="G20" s="119">
        <f t="shared" si="1"/>
        <v>177631647.89818037</v>
      </c>
    </row>
    <row r="21" spans="1:7" ht="6" customHeight="1">
      <c r="A21" s="120"/>
      <c r="B21" s="117"/>
      <c r="C21" s="117"/>
      <c r="D21" s="117"/>
      <c r="E21" s="117"/>
      <c r="F21" s="117"/>
      <c r="G21" s="117"/>
    </row>
    <row r="22" spans="1:7" ht="12.75">
      <c r="A22" s="120" t="s">
        <v>4</v>
      </c>
      <c r="B22" s="122">
        <v>18286843.02137324</v>
      </c>
      <c r="C22" s="122">
        <v>20394091.537887927</v>
      </c>
      <c r="D22" s="122">
        <v>525575.388646511</v>
      </c>
      <c r="E22" s="122">
        <v>20382351.92009867</v>
      </c>
      <c r="F22" s="122">
        <v>19730300.226313043</v>
      </c>
      <c r="G22" s="122">
        <v>21482620.429082107</v>
      </c>
    </row>
    <row r="23" spans="1:7" s="11" customFormat="1" ht="12.75">
      <c r="A23" s="123" t="s">
        <v>5</v>
      </c>
      <c r="B23" s="124">
        <v>22338108.07722</v>
      </c>
      <c r="C23" s="124">
        <v>24633382.395468466</v>
      </c>
      <c r="D23" s="124">
        <v>403570.4509134289</v>
      </c>
      <c r="E23" s="124">
        <v>23080853.380200006</v>
      </c>
      <c r="F23" s="124">
        <v>21940357.7646</v>
      </c>
      <c r="G23" s="124">
        <v>23989268.73110948</v>
      </c>
    </row>
    <row r="24" spans="1:7" s="2" customFormat="1" ht="12.75">
      <c r="A24" s="118" t="s">
        <v>23</v>
      </c>
      <c r="B24" s="119">
        <f>B22+B23</f>
        <v>40624951.098593235</v>
      </c>
      <c r="C24" s="119">
        <f>C22+C23</f>
        <v>45027473.93335639</v>
      </c>
      <c r="D24" s="119">
        <f>SUM(D22:D23)</f>
        <v>929145.8395599399</v>
      </c>
      <c r="E24" s="119">
        <f>E22+E23</f>
        <v>43463205.300298676</v>
      </c>
      <c r="F24" s="119">
        <f>F22+F23</f>
        <v>41670657.99091305</v>
      </c>
      <c r="G24" s="119">
        <f>G22+G23</f>
        <v>45471889.16019159</v>
      </c>
    </row>
    <row r="25" spans="1:7" ht="6" customHeight="1">
      <c r="A25" s="120"/>
      <c r="B25" s="117"/>
      <c r="C25" s="117"/>
      <c r="D25" s="117"/>
      <c r="E25" s="117"/>
      <c r="F25" s="117"/>
      <c r="G25" s="117"/>
    </row>
    <row r="26" spans="1:7" s="2" customFormat="1" ht="12.75">
      <c r="A26" s="125" t="s">
        <v>25</v>
      </c>
      <c r="B26" s="119">
        <f aca="true" t="shared" si="2" ref="B26:G26">B7+B12+B20+B24</f>
        <v>1124815520.6974525</v>
      </c>
      <c r="C26" s="119">
        <f t="shared" si="2"/>
        <v>1254152618.9937184</v>
      </c>
      <c r="D26" s="119">
        <f t="shared" si="2"/>
        <v>27556030.672780212</v>
      </c>
      <c r="E26" s="119">
        <f t="shared" si="2"/>
        <v>1248121776.68154</v>
      </c>
      <c r="F26" s="119">
        <f t="shared" si="2"/>
        <v>1192771631.1599002</v>
      </c>
      <c r="G26" s="119">
        <f t="shared" si="2"/>
        <v>1315184987.5505319</v>
      </c>
    </row>
    <row r="27" spans="1:7" s="22" customFormat="1" ht="8.25" customHeight="1">
      <c r="A27" s="120"/>
      <c r="B27" s="126"/>
      <c r="C27" s="126"/>
      <c r="D27" s="126"/>
      <c r="E27" s="126"/>
      <c r="F27" s="126"/>
      <c r="G27" s="126"/>
    </row>
    <row r="28" spans="1:7" s="22" customFormat="1" ht="14.25" customHeight="1">
      <c r="A28" s="118" t="s">
        <v>22</v>
      </c>
      <c r="B28" s="126"/>
      <c r="C28" s="126"/>
      <c r="D28" s="126"/>
      <c r="E28" s="126"/>
      <c r="F28" s="126"/>
      <c r="G28" s="126"/>
    </row>
    <row r="29" spans="1:7" s="22" customFormat="1" ht="12.75">
      <c r="A29" s="120" t="s">
        <v>6</v>
      </c>
      <c r="B29" s="127">
        <v>1094660</v>
      </c>
      <c r="C29" s="127">
        <v>1094660</v>
      </c>
      <c r="D29" s="127"/>
      <c r="E29" s="127">
        <v>1071642</v>
      </c>
      <c r="F29" s="127">
        <v>1071642</v>
      </c>
      <c r="G29" s="127">
        <v>1071642</v>
      </c>
    </row>
    <row r="30" spans="1:7" s="22" customFormat="1" ht="12.75">
      <c r="A30" s="120" t="s">
        <v>36</v>
      </c>
      <c r="B30" s="126"/>
      <c r="C30" s="126"/>
      <c r="D30" s="126"/>
      <c r="E30" s="126"/>
      <c r="F30" s="126"/>
      <c r="G30" s="126"/>
    </row>
    <row r="31" spans="1:7" s="22" customFormat="1" ht="12.75">
      <c r="A31" s="128" t="s">
        <v>12</v>
      </c>
      <c r="B31" s="127">
        <v>10282532</v>
      </c>
      <c r="C31" s="127">
        <v>10282532</v>
      </c>
      <c r="D31" s="127">
        <v>290428.52609767375</v>
      </c>
      <c r="E31" s="127">
        <v>10241381</v>
      </c>
      <c r="F31" s="127">
        <v>10241381</v>
      </c>
      <c r="G31" s="127">
        <v>10241381</v>
      </c>
    </row>
    <row r="32" spans="1:7" s="22" customFormat="1" ht="12.75">
      <c r="A32" s="128" t="s">
        <v>13</v>
      </c>
      <c r="B32" s="127">
        <v>9934827</v>
      </c>
      <c r="C32" s="127">
        <v>9934827</v>
      </c>
      <c r="D32" s="127"/>
      <c r="E32" s="127">
        <v>9782311</v>
      </c>
      <c r="F32" s="127">
        <v>9782311</v>
      </c>
      <c r="G32" s="127">
        <v>9782311</v>
      </c>
    </row>
    <row r="33" spans="1:7" s="23" customFormat="1" ht="12.75">
      <c r="A33" s="129" t="s">
        <v>71</v>
      </c>
      <c r="B33" s="130">
        <v>21183202</v>
      </c>
      <c r="C33" s="130">
        <v>21183202</v>
      </c>
      <c r="D33" s="130">
        <v>1330573.3497849514</v>
      </c>
      <c r="E33" s="130">
        <v>21856349</v>
      </c>
      <c r="F33" s="130">
        <v>21856349</v>
      </c>
      <c r="G33" s="130">
        <v>21856349</v>
      </c>
    </row>
    <row r="34" spans="1:8" s="2" customFormat="1" ht="12.75">
      <c r="A34" s="125" t="s">
        <v>26</v>
      </c>
      <c r="B34" s="119">
        <f aca="true" t="shared" si="3" ref="B34:G34">SUM(B29:B33)</f>
        <v>42495221</v>
      </c>
      <c r="C34" s="119">
        <f t="shared" si="3"/>
        <v>42495221</v>
      </c>
      <c r="D34" s="119">
        <f t="shared" si="3"/>
        <v>1621001.875882625</v>
      </c>
      <c r="E34" s="119">
        <f t="shared" si="3"/>
        <v>42951683</v>
      </c>
      <c r="F34" s="119">
        <f t="shared" si="3"/>
        <v>42951683</v>
      </c>
      <c r="G34" s="119">
        <f t="shared" si="3"/>
        <v>42951683</v>
      </c>
      <c r="H34" s="94"/>
    </row>
    <row r="35" spans="1:7" s="2" customFormat="1" ht="12.75">
      <c r="A35" s="125"/>
      <c r="B35" s="115"/>
      <c r="C35" s="115"/>
      <c r="D35" s="115"/>
      <c r="E35" s="115"/>
      <c r="F35" s="115"/>
      <c r="G35" s="115"/>
    </row>
    <row r="36" spans="1:7" s="2" customFormat="1" ht="12.75">
      <c r="A36" s="125" t="s">
        <v>43</v>
      </c>
      <c r="B36" s="119">
        <v>1565170</v>
      </c>
      <c r="C36" s="119">
        <v>1962838.6943564923</v>
      </c>
      <c r="D36" s="119">
        <v>0</v>
      </c>
      <c r="E36" s="119">
        <v>4259866</v>
      </c>
      <c r="F36" s="119">
        <v>3498726</v>
      </c>
      <c r="G36" s="119">
        <v>4340815.390551678</v>
      </c>
    </row>
    <row r="37" spans="1:7" s="2" customFormat="1" ht="12.75">
      <c r="A37" s="125" t="s">
        <v>44</v>
      </c>
      <c r="B37" s="115"/>
      <c r="C37" s="115"/>
      <c r="D37" s="115"/>
      <c r="E37" s="115"/>
      <c r="F37" s="115"/>
      <c r="G37" s="115"/>
    </row>
    <row r="38" spans="1:7" s="2" customFormat="1" ht="12.75">
      <c r="A38" s="125" t="s">
        <v>45</v>
      </c>
      <c r="B38" s="119">
        <f aca="true" t="shared" si="4" ref="B38:G38">B36+B37</f>
        <v>1565170</v>
      </c>
      <c r="C38" s="119">
        <f t="shared" si="4"/>
        <v>1962838.6943564923</v>
      </c>
      <c r="D38" s="119">
        <f t="shared" si="4"/>
        <v>0</v>
      </c>
      <c r="E38" s="119">
        <f t="shared" si="4"/>
        <v>4259866</v>
      </c>
      <c r="F38" s="119">
        <f t="shared" si="4"/>
        <v>3498726</v>
      </c>
      <c r="G38" s="119">
        <f t="shared" si="4"/>
        <v>4340815.390551678</v>
      </c>
    </row>
    <row r="39" spans="1:7" s="22" customFormat="1" ht="6.75" customHeight="1">
      <c r="A39" s="120"/>
      <c r="B39" s="126"/>
      <c r="C39" s="126"/>
      <c r="D39" s="126"/>
      <c r="E39" s="126"/>
      <c r="F39" s="126"/>
      <c r="G39" s="126"/>
    </row>
    <row r="40" spans="1:7" s="2" customFormat="1" ht="12.75">
      <c r="A40" s="118" t="s">
        <v>15</v>
      </c>
      <c r="B40" s="131">
        <f>+B26+B34+B38</f>
        <v>1168875911.6974525</v>
      </c>
      <c r="C40" s="131">
        <f>+C26+C34+C38</f>
        <v>1298610678.6880748</v>
      </c>
      <c r="D40" s="131">
        <f>D26+D34+D38</f>
        <v>29177032.548662838</v>
      </c>
      <c r="E40" s="131">
        <f>+E26+E34+E38</f>
        <v>1295333325.68154</v>
      </c>
      <c r="F40" s="131">
        <f>+F26+F34+F38</f>
        <v>1239222040.1599002</v>
      </c>
      <c r="G40" s="131">
        <f>+G26+G34+G38</f>
        <v>1362477485.9410834</v>
      </c>
    </row>
    <row r="41" spans="1:7" s="22" customFormat="1" ht="7.5" customHeight="1">
      <c r="A41" s="120"/>
      <c r="B41" s="126"/>
      <c r="C41" s="126"/>
      <c r="D41" s="126"/>
      <c r="E41" s="126"/>
      <c r="F41" s="126"/>
      <c r="G41" s="126"/>
    </row>
    <row r="42" spans="1:7" s="22" customFormat="1" ht="12.75">
      <c r="A42" s="126" t="s">
        <v>16</v>
      </c>
      <c r="B42" s="127">
        <v>1806823</v>
      </c>
      <c r="C42" s="127">
        <v>1806823</v>
      </c>
      <c r="D42" s="127">
        <v>0</v>
      </c>
      <c r="E42" s="127">
        <v>1943419</v>
      </c>
      <c r="F42" s="127">
        <v>1943419</v>
      </c>
      <c r="G42" s="127">
        <v>1943419</v>
      </c>
    </row>
    <row r="43" spans="1:7" s="22" customFormat="1" ht="6.75" customHeight="1">
      <c r="A43" s="126"/>
      <c r="B43" s="126"/>
      <c r="C43" s="126"/>
      <c r="D43" s="126"/>
      <c r="E43" s="126"/>
      <c r="F43" s="126"/>
      <c r="G43" s="126"/>
    </row>
    <row r="44" spans="1:7" s="2" customFormat="1" ht="12.75">
      <c r="A44" s="115" t="s">
        <v>17</v>
      </c>
      <c r="B44" s="119">
        <f aca="true" t="shared" si="5" ref="B44:G44">B40+B42</f>
        <v>1170682734.6974525</v>
      </c>
      <c r="C44" s="119">
        <f t="shared" si="5"/>
        <v>1300417501.6880748</v>
      </c>
      <c r="D44" s="119">
        <f t="shared" si="5"/>
        <v>29177032.548662838</v>
      </c>
      <c r="E44" s="119">
        <f t="shared" si="5"/>
        <v>1297276744.68154</v>
      </c>
      <c r="F44" s="119">
        <f t="shared" si="5"/>
        <v>1241165459.1599002</v>
      </c>
      <c r="G44" s="119">
        <f t="shared" si="5"/>
        <v>1364420904.9410834</v>
      </c>
    </row>
    <row r="45" spans="1:7" s="22" customFormat="1" ht="6.75" customHeight="1">
      <c r="A45" s="126"/>
      <c r="B45" s="126"/>
      <c r="C45" s="126"/>
      <c r="D45" s="126"/>
      <c r="E45" s="126"/>
      <c r="F45" s="126"/>
      <c r="G45" s="126"/>
    </row>
    <row r="46" spans="1:7" s="22" customFormat="1" ht="12.75">
      <c r="A46" s="115" t="s">
        <v>18</v>
      </c>
      <c r="B46" s="126"/>
      <c r="C46" s="126"/>
      <c r="D46" s="126"/>
      <c r="E46" s="126"/>
      <c r="F46" s="126"/>
      <c r="G46" s="126"/>
    </row>
    <row r="47" spans="1:7" s="22" customFormat="1" ht="12.75">
      <c r="A47" s="126" t="s">
        <v>40</v>
      </c>
      <c r="B47" s="127">
        <v>21959248.80253</v>
      </c>
      <c r="C47" s="127">
        <v>22582498.31192314</v>
      </c>
      <c r="D47" s="127">
        <v>0</v>
      </c>
      <c r="E47" s="127">
        <v>23145757.17</v>
      </c>
      <c r="F47" s="127">
        <v>22871176.99827166</v>
      </c>
      <c r="G47" s="127">
        <v>23479095.05891397</v>
      </c>
    </row>
    <row r="48" spans="1:7" s="22" customFormat="1" ht="12.75">
      <c r="A48" s="120" t="s">
        <v>41</v>
      </c>
      <c r="B48" s="126"/>
      <c r="C48" s="126"/>
      <c r="D48" s="126"/>
      <c r="E48" s="126"/>
      <c r="F48" s="126"/>
      <c r="G48" s="126"/>
    </row>
    <row r="49" spans="1:7" s="22" customFormat="1" ht="12.75">
      <c r="A49" s="120" t="s">
        <v>42</v>
      </c>
      <c r="B49" s="127">
        <f aca="true" t="shared" si="6" ref="B49:G49">SUM(B47:B48)</f>
        <v>21959248.80253</v>
      </c>
      <c r="C49" s="127">
        <f t="shared" si="6"/>
        <v>22582498.31192314</v>
      </c>
      <c r="D49" s="127">
        <f t="shared" si="6"/>
        <v>0</v>
      </c>
      <c r="E49" s="127">
        <f t="shared" si="6"/>
        <v>23145757.17</v>
      </c>
      <c r="F49" s="127">
        <f t="shared" si="6"/>
        <v>22871176.99827166</v>
      </c>
      <c r="G49" s="127">
        <f t="shared" si="6"/>
        <v>23479095.05891397</v>
      </c>
    </row>
    <row r="50" spans="1:7" s="22" customFormat="1" ht="12.75">
      <c r="A50" s="126"/>
      <c r="B50" s="126"/>
      <c r="C50" s="126"/>
      <c r="D50" s="126"/>
      <c r="E50" s="126"/>
      <c r="F50" s="126"/>
      <c r="G50" s="126"/>
    </row>
    <row r="51" spans="1:7" s="2" customFormat="1" ht="12.75">
      <c r="A51" s="132" t="s">
        <v>19</v>
      </c>
      <c r="B51" s="119">
        <f aca="true" t="shared" si="7" ref="B51:G51">B44+B49</f>
        <v>1192641983.4999826</v>
      </c>
      <c r="C51" s="119">
        <f t="shared" si="7"/>
        <v>1322999999.9999979</v>
      </c>
      <c r="D51" s="119">
        <f t="shared" si="7"/>
        <v>29177032.548662838</v>
      </c>
      <c r="E51" s="119">
        <f t="shared" si="7"/>
        <v>1320422501.85154</v>
      </c>
      <c r="F51" s="119">
        <f t="shared" si="7"/>
        <v>1264036636.158172</v>
      </c>
      <c r="G51" s="119">
        <f t="shared" si="7"/>
        <v>1387899999.9999974</v>
      </c>
    </row>
    <row r="52" spans="1:7" s="22" customFormat="1" ht="12.75">
      <c r="A52" s="126"/>
      <c r="B52" s="126"/>
      <c r="C52" s="126"/>
      <c r="D52" s="126"/>
      <c r="E52" s="126"/>
      <c r="F52" s="126"/>
      <c r="G52" s="126"/>
    </row>
    <row r="53" spans="1:7" s="2" customFormat="1" ht="12.75">
      <c r="A53" s="115" t="s">
        <v>24</v>
      </c>
      <c r="B53" s="115"/>
      <c r="C53" s="115"/>
      <c r="D53" s="115"/>
      <c r="E53" s="115"/>
      <c r="F53" s="115"/>
      <c r="G53" s="115"/>
    </row>
    <row r="54" ht="5.25" customHeight="1">
      <c r="A54" s="3"/>
    </row>
    <row r="55" ht="12.75">
      <c r="A55" s="4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6"/>
    </row>
    <row r="68" ht="12.75">
      <c r="A68" s="6"/>
    </row>
    <row r="69" ht="12.75">
      <c r="A69" s="5"/>
    </row>
    <row r="70" ht="12.75">
      <c r="A70" s="5"/>
    </row>
    <row r="71" ht="12.75">
      <c r="A71" s="5"/>
    </row>
    <row r="73" ht="12.75">
      <c r="A73" s="5"/>
    </row>
  </sheetData>
  <sheetProtection/>
  <mergeCells count="2">
    <mergeCell ref="B3:D3"/>
    <mergeCell ref="E3:G3"/>
  </mergeCells>
  <printOptions horizontalCentered="1"/>
  <pageMargins left="0.75" right="0.75" top="1" bottom="1" header="0.5" footer="0.5"/>
  <pageSetup fitToHeight="1" fitToWidth="1" horizontalDpi="600" verticalDpi="600" orientation="landscape" paperSize="17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view="pageBreakPreview" zoomScale="60" zoomScalePageLayoutView="0" workbookViewId="0" topLeftCell="A1">
      <selection activeCell="N17" sqref="N17"/>
    </sheetView>
  </sheetViews>
  <sheetFormatPr defaultColWidth="5.28125" defaultRowHeight="12.75"/>
  <cols>
    <col min="1" max="1" width="4.00390625" style="0" bestFit="1" customWidth="1"/>
    <col min="2" max="2" width="35.421875" style="0" customWidth="1"/>
    <col min="3" max="3" width="12.57421875" style="0" bestFit="1" customWidth="1"/>
    <col min="4" max="4" width="19.421875" style="0" bestFit="1" customWidth="1"/>
    <col min="5" max="5" width="7.28125" style="0" bestFit="1" customWidth="1"/>
    <col min="6" max="6" width="15.140625" style="0" bestFit="1" customWidth="1"/>
    <col min="7" max="7" width="19.140625" style="0" bestFit="1" customWidth="1"/>
    <col min="8" max="8" width="19.421875" style="0" bestFit="1" customWidth="1"/>
    <col min="9" max="9" width="15.8515625" style="0" bestFit="1" customWidth="1"/>
    <col min="10" max="10" width="10.8515625" style="0" bestFit="1" customWidth="1"/>
    <col min="11" max="12" width="8.00390625" style="0" bestFit="1" customWidth="1"/>
    <col min="13" max="13" width="9.00390625" style="0" bestFit="1" customWidth="1"/>
    <col min="14" max="14" width="10.8515625" style="0" bestFit="1" customWidth="1"/>
    <col min="15" max="15" width="16.28125" style="0" bestFit="1" customWidth="1"/>
    <col min="16" max="16" width="8.00390625" style="0" bestFit="1" customWidth="1"/>
    <col min="17" max="17" width="17.28125" style="0" bestFit="1" customWidth="1"/>
    <col min="18" max="18" width="10.8515625" style="0" bestFit="1" customWidth="1"/>
    <col min="19" max="19" width="20.421875" style="0" bestFit="1" customWidth="1"/>
    <col min="20" max="20" width="17.28125" style="0" bestFit="1" customWidth="1"/>
    <col min="21" max="21" width="10.8515625" style="0" bestFit="1" customWidth="1"/>
  </cols>
  <sheetData>
    <row r="1" spans="2:21" ht="18">
      <c r="B1" s="134" t="s">
        <v>91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ht="65.25" customHeight="1">
      <c r="A2">
        <v>1</v>
      </c>
      <c r="B2" s="39" t="s">
        <v>20</v>
      </c>
      <c r="C2" s="55" t="s">
        <v>79</v>
      </c>
      <c r="D2" s="56" t="s">
        <v>80</v>
      </c>
      <c r="E2" s="56" t="s">
        <v>83</v>
      </c>
      <c r="F2" s="56" t="s">
        <v>81</v>
      </c>
      <c r="G2" s="56" t="s">
        <v>82</v>
      </c>
      <c r="H2" s="135" t="s">
        <v>90</v>
      </c>
      <c r="I2" s="136"/>
      <c r="J2" s="137"/>
      <c r="K2" s="135" t="s">
        <v>38</v>
      </c>
      <c r="L2" s="136"/>
      <c r="M2" s="136"/>
      <c r="N2" s="137"/>
      <c r="O2" s="138" t="s">
        <v>39</v>
      </c>
      <c r="P2" s="139"/>
      <c r="Q2" s="139"/>
      <c r="R2" s="140"/>
      <c r="S2" s="138" t="s">
        <v>85</v>
      </c>
      <c r="T2" s="139"/>
      <c r="U2" s="140"/>
    </row>
    <row r="3" spans="1:21" ht="20.25">
      <c r="A3">
        <f>A2+1</f>
        <v>2</v>
      </c>
      <c r="B3" s="78" t="s">
        <v>62</v>
      </c>
      <c r="C3" s="78" t="s">
        <v>27</v>
      </c>
      <c r="D3" s="79" t="s">
        <v>31</v>
      </c>
      <c r="E3" s="79" t="s">
        <v>28</v>
      </c>
      <c r="F3" s="79" t="s">
        <v>29</v>
      </c>
      <c r="G3" s="93" t="s">
        <v>30</v>
      </c>
      <c r="H3" s="78" t="s">
        <v>50</v>
      </c>
      <c r="I3" s="79" t="s">
        <v>51</v>
      </c>
      <c r="J3" s="80" t="s">
        <v>63</v>
      </c>
      <c r="K3" s="78" t="s">
        <v>52</v>
      </c>
      <c r="L3" s="79" t="s">
        <v>58</v>
      </c>
      <c r="M3" s="79" t="s">
        <v>59</v>
      </c>
      <c r="N3" s="80" t="s">
        <v>64</v>
      </c>
      <c r="O3" s="78" t="s">
        <v>53</v>
      </c>
      <c r="P3" s="79" t="s">
        <v>54</v>
      </c>
      <c r="Q3" s="79" t="s">
        <v>55</v>
      </c>
      <c r="R3" s="80" t="s">
        <v>56</v>
      </c>
      <c r="S3" s="78" t="s">
        <v>57</v>
      </c>
      <c r="T3" s="79" t="s">
        <v>65</v>
      </c>
      <c r="U3" s="80" t="s">
        <v>60</v>
      </c>
    </row>
    <row r="4" spans="1:21" ht="51">
      <c r="A4">
        <f aca="true" t="shared" si="0" ref="A4:A49">A3+1</f>
        <v>3</v>
      </c>
      <c r="B4" s="44"/>
      <c r="C4" s="45"/>
      <c r="D4" s="53"/>
      <c r="E4" s="53"/>
      <c r="F4" s="53"/>
      <c r="G4" s="53"/>
      <c r="H4" s="58" t="s">
        <v>32</v>
      </c>
      <c r="I4" s="59" t="s">
        <v>34</v>
      </c>
      <c r="J4" s="60" t="s">
        <v>49</v>
      </c>
      <c r="K4" s="62" t="s">
        <v>70</v>
      </c>
      <c r="L4" s="61" t="s">
        <v>84</v>
      </c>
      <c r="M4" s="61" t="s">
        <v>33</v>
      </c>
      <c r="N4" s="60" t="s">
        <v>49</v>
      </c>
      <c r="O4" s="62" t="s">
        <v>70</v>
      </c>
      <c r="P4" s="61" t="s">
        <v>84</v>
      </c>
      <c r="Q4" s="61" t="s">
        <v>33</v>
      </c>
      <c r="R4" s="60" t="s">
        <v>49</v>
      </c>
      <c r="S4" s="62" t="s">
        <v>32</v>
      </c>
      <c r="T4" s="63" t="s">
        <v>33</v>
      </c>
      <c r="U4" s="60" t="s">
        <v>49</v>
      </c>
    </row>
    <row r="5" spans="1:21" ht="12.75">
      <c r="A5">
        <f t="shared" si="0"/>
        <v>4</v>
      </c>
      <c r="B5" s="28" t="s">
        <v>21</v>
      </c>
      <c r="C5" s="10"/>
      <c r="D5" s="9"/>
      <c r="E5" s="9"/>
      <c r="F5" s="54"/>
      <c r="G5" s="9"/>
      <c r="H5" s="24"/>
      <c r="I5" s="1"/>
      <c r="J5" s="25"/>
      <c r="K5" s="52"/>
      <c r="L5" s="1"/>
      <c r="M5" s="1"/>
      <c r="N5" s="68"/>
      <c r="O5" s="24"/>
      <c r="P5" s="1"/>
      <c r="Q5" s="1"/>
      <c r="R5" s="25"/>
      <c r="S5" s="26"/>
      <c r="T5" s="13"/>
      <c r="U5" s="25"/>
    </row>
    <row r="6" spans="1:22" ht="12.75">
      <c r="A6">
        <f t="shared" si="0"/>
        <v>5</v>
      </c>
      <c r="B6" s="29" t="s">
        <v>8</v>
      </c>
      <c r="C6" s="14">
        <v>4257.229617</v>
      </c>
      <c r="D6" s="69">
        <f>database!F7</f>
        <v>623421598.8704519</v>
      </c>
      <c r="E6" s="69">
        <v>0</v>
      </c>
      <c r="F6" s="69">
        <f>database!D7</f>
        <v>11528175.200903017</v>
      </c>
      <c r="G6" s="69">
        <f>D6+E6+F6</f>
        <v>634949774.071355</v>
      </c>
      <c r="H6" s="99">
        <f>D6+I6</f>
        <v>653998267.2934958</v>
      </c>
      <c r="I6" s="69">
        <f>G6*J6</f>
        <v>30576668.423043877</v>
      </c>
      <c r="J6" s="38">
        <v>0.048156042685051345</v>
      </c>
      <c r="K6" s="34">
        <f>E6</f>
        <v>0</v>
      </c>
      <c r="L6" s="15">
        <v>0</v>
      </c>
      <c r="M6" s="15">
        <f>L6-K6</f>
        <v>0</v>
      </c>
      <c r="N6" s="38">
        <f>M6/G6</f>
        <v>0</v>
      </c>
      <c r="O6" s="34">
        <f>F6</f>
        <v>11528175.200903017</v>
      </c>
      <c r="P6" s="15">
        <v>0</v>
      </c>
      <c r="Q6" s="97">
        <f>P6-O6</f>
        <v>-11528175.200903017</v>
      </c>
      <c r="R6" s="38">
        <f>+Q6/G6</f>
        <v>-0.018156042685051013</v>
      </c>
      <c r="S6" s="34">
        <f>+H6+L6+P6</f>
        <v>653998267.2934958</v>
      </c>
      <c r="T6" s="15">
        <f>S6-G6</f>
        <v>19048493.22214079</v>
      </c>
      <c r="U6" s="38">
        <f>T6/G6</f>
        <v>0.03000000000000022</v>
      </c>
      <c r="V6" s="67"/>
    </row>
    <row r="7" spans="1:21" ht="12.75">
      <c r="A7">
        <f t="shared" si="0"/>
        <v>6</v>
      </c>
      <c r="B7" s="30"/>
      <c r="C7" s="16"/>
      <c r="D7" s="70"/>
      <c r="E7" s="70"/>
      <c r="F7" s="70"/>
      <c r="G7" s="70"/>
      <c r="H7" s="100"/>
      <c r="I7" s="70"/>
      <c r="J7" s="47"/>
      <c r="K7" s="35"/>
      <c r="L7" s="17"/>
      <c r="M7" s="17"/>
      <c r="N7" s="47"/>
      <c r="O7" s="35"/>
      <c r="P7" s="17"/>
      <c r="Q7" s="108"/>
      <c r="R7" s="47"/>
      <c r="S7" s="35"/>
      <c r="T7" s="17"/>
      <c r="U7" s="47"/>
    </row>
    <row r="8" spans="1:21" ht="12.75">
      <c r="A8">
        <f t="shared" si="0"/>
        <v>7</v>
      </c>
      <c r="B8" s="40" t="s">
        <v>0</v>
      </c>
      <c r="C8" s="16">
        <v>229.385524</v>
      </c>
      <c r="D8" s="70">
        <f>database!F9</f>
        <v>33148114.468964506</v>
      </c>
      <c r="E8" s="70">
        <v>0</v>
      </c>
      <c r="F8" s="70">
        <f>database!D9</f>
        <v>663039.8340477052</v>
      </c>
      <c r="G8" s="70">
        <f>D8+E8+F8</f>
        <v>33811154.303012215</v>
      </c>
      <c r="H8" s="100">
        <f>D8+I8</f>
        <v>34825488.93210259</v>
      </c>
      <c r="I8" s="70">
        <f>G8*J8</f>
        <v>1677374.4631380816</v>
      </c>
      <c r="J8" s="47">
        <v>0.049610091631466284</v>
      </c>
      <c r="K8" s="35">
        <f>E8</f>
        <v>0</v>
      </c>
      <c r="L8" s="17">
        <v>0</v>
      </c>
      <c r="M8" s="17">
        <f>L8-K8</f>
        <v>0</v>
      </c>
      <c r="N8" s="46">
        <f>M8/G8</f>
        <v>0</v>
      </c>
      <c r="O8" s="35">
        <f>F8</f>
        <v>663039.8340477052</v>
      </c>
      <c r="P8" s="17">
        <v>0</v>
      </c>
      <c r="Q8" s="108">
        <f>P8-O8</f>
        <v>-663039.8340477052</v>
      </c>
      <c r="R8" s="46">
        <f>+Q8/G8</f>
        <v>-0.01961009163146599</v>
      </c>
      <c r="S8" s="35">
        <f>+H8+L8+P8</f>
        <v>34825488.93210259</v>
      </c>
      <c r="T8" s="17">
        <f>S8-G8</f>
        <v>1014334.6290903762</v>
      </c>
      <c r="U8" s="47">
        <f>T8/G8</f>
        <v>0.03000000000000029</v>
      </c>
    </row>
    <row r="9" spans="1:21" ht="12.75">
      <c r="A9">
        <f t="shared" si="0"/>
        <v>8</v>
      </c>
      <c r="B9" s="30" t="s">
        <v>9</v>
      </c>
      <c r="C9" s="16">
        <v>2433.008693</v>
      </c>
      <c r="D9" s="70">
        <f>database!F10</f>
        <v>293286628.45813966</v>
      </c>
      <c r="E9" s="70">
        <v>0</v>
      </c>
      <c r="F9" s="70">
        <f>database!D10</f>
        <v>7640243.683163606</v>
      </c>
      <c r="G9" s="70">
        <f>D9+E9+F9</f>
        <v>300926872.14130324</v>
      </c>
      <c r="H9" s="100">
        <f>D9+I9</f>
        <v>309954678.3055424</v>
      </c>
      <c r="I9" s="70">
        <f>G9*J9</f>
        <v>16668049.847402733</v>
      </c>
      <c r="J9" s="47">
        <v>0.05538903763827407</v>
      </c>
      <c r="K9" s="35">
        <f>E9</f>
        <v>0</v>
      </c>
      <c r="L9" s="17">
        <v>0</v>
      </c>
      <c r="M9" s="17">
        <f>L9-K9</f>
        <v>0</v>
      </c>
      <c r="N9" s="46">
        <f>M9/G9</f>
        <v>0</v>
      </c>
      <c r="O9" s="35">
        <f>F9</f>
        <v>7640243.683163606</v>
      </c>
      <c r="P9" s="17">
        <v>0</v>
      </c>
      <c r="Q9" s="108">
        <f>P9-O9</f>
        <v>-7640243.683163606</v>
      </c>
      <c r="R9" s="46">
        <f>+Q9/G9</f>
        <v>-0.025389037638273968</v>
      </c>
      <c r="S9" s="35">
        <f>+H9+L9+P9</f>
        <v>309954678.3055424</v>
      </c>
      <c r="T9" s="17">
        <f>S9-G9</f>
        <v>9027806.164239168</v>
      </c>
      <c r="U9" s="47">
        <f>T9/G9</f>
        <v>0.030000000000000235</v>
      </c>
    </row>
    <row r="10" spans="1:21" ht="12.75">
      <c r="A10">
        <f t="shared" si="0"/>
        <v>9</v>
      </c>
      <c r="B10" s="41" t="s">
        <v>1</v>
      </c>
      <c r="C10" s="18">
        <v>386.956179</v>
      </c>
      <c r="D10" s="71">
        <f>database!F11</f>
        <v>39770145.45750196</v>
      </c>
      <c r="E10" s="71">
        <v>0</v>
      </c>
      <c r="F10" s="71">
        <f>database!D11</f>
        <v>1341147.4854338877</v>
      </c>
      <c r="G10" s="71">
        <f>D10+E10+F10</f>
        <v>41111292.942935854</v>
      </c>
      <c r="H10" s="101">
        <f>D10+I10</f>
        <v>42344631.731223926</v>
      </c>
      <c r="I10" s="71">
        <f>G10*J10</f>
        <v>2574486.273721967</v>
      </c>
      <c r="J10" s="43">
        <v>0.06262236211581715</v>
      </c>
      <c r="K10" s="36">
        <f>E10</f>
        <v>0</v>
      </c>
      <c r="L10" s="19">
        <v>0</v>
      </c>
      <c r="M10" s="19">
        <f>L10-K10</f>
        <v>0</v>
      </c>
      <c r="N10" s="51">
        <f>M10/G10</f>
        <v>0</v>
      </c>
      <c r="O10" s="36">
        <f>F10</f>
        <v>1341147.4854338877</v>
      </c>
      <c r="P10" s="19">
        <v>0</v>
      </c>
      <c r="Q10" s="109">
        <f>P10-O10</f>
        <v>-1341147.4854338877</v>
      </c>
      <c r="R10" s="51">
        <f>+Q10/G10</f>
        <v>-0.03262236211581706</v>
      </c>
      <c r="S10" s="36">
        <f>+H10+L10+P10</f>
        <v>42344631.731223926</v>
      </c>
      <c r="T10" s="19">
        <f>S10-G10</f>
        <v>1233338.7882880718</v>
      </c>
      <c r="U10" s="43">
        <f>T10/G10</f>
        <v>0.029999999999999905</v>
      </c>
    </row>
    <row r="11" spans="1:21" ht="12.75">
      <c r="A11">
        <f t="shared" si="0"/>
        <v>10</v>
      </c>
      <c r="B11" s="29" t="s">
        <v>10</v>
      </c>
      <c r="C11" s="14">
        <f aca="true" t="shared" si="1" ref="C11:H11">SUM(C8:C10)</f>
        <v>3049.350396</v>
      </c>
      <c r="D11" s="69">
        <f t="shared" si="1"/>
        <v>366204888.3846061</v>
      </c>
      <c r="E11" s="69">
        <f t="shared" si="1"/>
        <v>0</v>
      </c>
      <c r="F11" s="69">
        <f t="shared" si="1"/>
        <v>9644431.002645198</v>
      </c>
      <c r="G11" s="69">
        <f t="shared" si="1"/>
        <v>375849319.38725126</v>
      </c>
      <c r="H11" s="99">
        <f t="shared" si="1"/>
        <v>387124798.968869</v>
      </c>
      <c r="I11" s="69">
        <f>I8+I9+I10</f>
        <v>20919910.58426278</v>
      </c>
      <c r="J11" s="38">
        <f>I11/G11</f>
        <v>0.05566036575074448</v>
      </c>
      <c r="K11" s="34">
        <f>SUM(K8:K10)</f>
        <v>0</v>
      </c>
      <c r="L11" s="15">
        <f>SUM(L8:L10)</f>
        <v>0</v>
      </c>
      <c r="M11" s="15">
        <f>L11-K11</f>
        <v>0</v>
      </c>
      <c r="N11" s="38">
        <f>M11/G11</f>
        <v>0</v>
      </c>
      <c r="O11" s="34">
        <f>SUM(O8:O10)</f>
        <v>9644431.002645198</v>
      </c>
      <c r="P11" s="15">
        <f>SUM(P8:P10)</f>
        <v>0</v>
      </c>
      <c r="Q11" s="97">
        <f>P11-O11</f>
        <v>-9644431.002645198</v>
      </c>
      <c r="R11" s="38">
        <f>+Q11/G11</f>
        <v>-0.025660365750744353</v>
      </c>
      <c r="S11" s="34">
        <f>SUM(S8:S10)</f>
        <v>387124798.968869</v>
      </c>
      <c r="T11" s="15">
        <f>S11-G11</f>
        <v>11275479.581617713</v>
      </c>
      <c r="U11" s="38">
        <f>T11/G11</f>
        <v>0.030000000000000467</v>
      </c>
    </row>
    <row r="12" spans="1:21" ht="12.75">
      <c r="A12">
        <f t="shared" si="0"/>
        <v>11</v>
      </c>
      <c r="B12" s="30"/>
      <c r="C12" s="16"/>
      <c r="D12" s="70"/>
      <c r="E12" s="70"/>
      <c r="F12" s="70"/>
      <c r="G12" s="70"/>
      <c r="H12" s="100"/>
      <c r="I12" s="70"/>
      <c r="J12" s="47"/>
      <c r="K12" s="35"/>
      <c r="L12" s="17"/>
      <c r="M12" s="17"/>
      <c r="N12" s="47"/>
      <c r="O12" s="35"/>
      <c r="P12" s="17"/>
      <c r="Q12" s="108"/>
      <c r="R12" s="47"/>
      <c r="S12" s="35"/>
      <c r="T12" s="17"/>
      <c r="U12" s="47"/>
    </row>
    <row r="13" spans="1:22" ht="12.75">
      <c r="A13">
        <f t="shared" si="0"/>
        <v>12</v>
      </c>
      <c r="B13" s="30" t="s">
        <v>2</v>
      </c>
      <c r="C13" s="16">
        <v>260.262666</v>
      </c>
      <c r="D13" s="70">
        <f>database!F14</f>
        <v>30276492.807086613</v>
      </c>
      <c r="E13" s="70">
        <v>0</v>
      </c>
      <c r="F13" s="70">
        <f>database!D14</f>
        <v>827566.6761845871</v>
      </c>
      <c r="G13" s="70">
        <f>D13+E13+F13</f>
        <v>31104059.4832712</v>
      </c>
      <c r="H13" s="100">
        <f>D13+I13</f>
        <v>32037181.26776934</v>
      </c>
      <c r="I13" s="70">
        <f>G13*J13</f>
        <v>1760688.460682726</v>
      </c>
      <c r="J13" s="47">
        <v>0.05660638803850292</v>
      </c>
      <c r="K13" s="35">
        <f>E13</f>
        <v>0</v>
      </c>
      <c r="L13" s="17">
        <v>0</v>
      </c>
      <c r="M13" s="17">
        <f>L13-K13</f>
        <v>0</v>
      </c>
      <c r="N13" s="46">
        <f>M13/G13</f>
        <v>0</v>
      </c>
      <c r="O13" s="35">
        <f>F13</f>
        <v>827566.6761845871</v>
      </c>
      <c r="P13" s="17">
        <v>0</v>
      </c>
      <c r="Q13" s="108">
        <f>P13-O13</f>
        <v>-827566.6761845871</v>
      </c>
      <c r="R13" s="46">
        <f>+Q13/G13</f>
        <v>-0.02660638803850282</v>
      </c>
      <c r="S13" s="35">
        <f aca="true" t="shared" si="2" ref="S13:S18">+H13+L13+P13</f>
        <v>32037181.26776934</v>
      </c>
      <c r="T13" s="17">
        <f aca="true" t="shared" si="3" ref="T13:T19">S13-G13</f>
        <v>933121.7844981402</v>
      </c>
      <c r="U13" s="47">
        <f>T13/G13</f>
        <v>0.030000000000000134</v>
      </c>
      <c r="V13" s="67"/>
    </row>
    <row r="14" spans="1:21" ht="12.75">
      <c r="A14">
        <f t="shared" si="0"/>
        <v>13</v>
      </c>
      <c r="B14" s="30" t="s">
        <v>3</v>
      </c>
      <c r="C14" s="16">
        <v>512.810388</v>
      </c>
      <c r="D14" s="70">
        <f>database!F15</f>
        <v>51945620.315645605</v>
      </c>
      <c r="E14" s="70">
        <v>0</v>
      </c>
      <c r="F14" s="70">
        <f>database!D15</f>
        <v>1564646.3316729537</v>
      </c>
      <c r="G14" s="70">
        <f>D14+E14+F14</f>
        <v>53510266.64731856</v>
      </c>
      <c r="H14" s="100">
        <f>D14+I14</f>
        <v>55115574.64673811</v>
      </c>
      <c r="I14" s="70">
        <f>G14*J14</f>
        <v>3169954.331092504</v>
      </c>
      <c r="J14" s="47">
        <v>0.05924011464912692</v>
      </c>
      <c r="K14" s="35">
        <f>E14</f>
        <v>0</v>
      </c>
      <c r="L14" s="17">
        <v>0</v>
      </c>
      <c r="M14" s="17">
        <f>L14-K14</f>
        <v>0</v>
      </c>
      <c r="N14" s="46">
        <f>M14/G14</f>
        <v>0</v>
      </c>
      <c r="O14" s="35">
        <f>F14</f>
        <v>1564646.3316729537</v>
      </c>
      <c r="P14" s="17">
        <v>0</v>
      </c>
      <c r="Q14" s="108">
        <f>P14-O14</f>
        <v>-1564646.3316729537</v>
      </c>
      <c r="R14" s="46">
        <f>+Q14/G14</f>
        <v>-0.029240114649127045</v>
      </c>
      <c r="S14" s="35">
        <f t="shared" si="2"/>
        <v>55115574.64673811</v>
      </c>
      <c r="T14" s="17">
        <f t="shared" si="3"/>
        <v>1605307.999419555</v>
      </c>
      <c r="U14" s="47">
        <f>T14/G14</f>
        <v>0.029999999999999968</v>
      </c>
    </row>
    <row r="15" spans="1:21" s="81" customFormat="1" ht="12.75">
      <c r="A15">
        <f t="shared" si="0"/>
        <v>14</v>
      </c>
      <c r="B15" s="82" t="s">
        <v>66</v>
      </c>
      <c r="C15" s="83">
        <v>228.669798</v>
      </c>
      <c r="D15" s="84">
        <f>database!F16</f>
        <v>20121151.526257418</v>
      </c>
      <c r="E15" s="84">
        <v>0</v>
      </c>
      <c r="F15" s="84">
        <f>database!D16</f>
        <v>747144.0117227418</v>
      </c>
      <c r="G15" s="84">
        <f>D15+E15+F15</f>
        <v>20868295.53798016</v>
      </c>
      <c r="H15" s="102">
        <v>21434037.83615608</v>
      </c>
      <c r="I15" s="84">
        <f>H15-D15</f>
        <v>1312886.3098986633</v>
      </c>
      <c r="J15" s="105">
        <f>I15/G15</f>
        <v>0.06291296323215372</v>
      </c>
      <c r="K15" s="86">
        <f>E15</f>
        <v>0</v>
      </c>
      <c r="L15" s="85">
        <v>0</v>
      </c>
      <c r="M15" s="85">
        <f>L15-K15</f>
        <v>0</v>
      </c>
      <c r="N15" s="87">
        <f>M15/G15</f>
        <v>0</v>
      </c>
      <c r="O15" s="86">
        <f>F15</f>
        <v>747144.0117227418</v>
      </c>
      <c r="P15" s="85">
        <v>0</v>
      </c>
      <c r="Q15" s="110">
        <f>P15-O15</f>
        <v>-747144.0117227418</v>
      </c>
      <c r="R15" s="87">
        <f>+Q15/G15</f>
        <v>-0.03580282876303647</v>
      </c>
      <c r="S15" s="86">
        <f t="shared" si="2"/>
        <v>21434037.83615608</v>
      </c>
      <c r="T15" s="85">
        <f t="shared" si="3"/>
        <v>565742.2981759198</v>
      </c>
      <c r="U15" s="87">
        <f>T15/G15</f>
        <v>0.02711013446911716</v>
      </c>
    </row>
    <row r="16" spans="1:21" s="81" customFormat="1" ht="12.75">
      <c r="A16">
        <f t="shared" si="0"/>
        <v>15</v>
      </c>
      <c r="B16" s="82" t="s">
        <v>67</v>
      </c>
      <c r="C16" s="88">
        <v>693.10233</v>
      </c>
      <c r="D16" s="89">
        <f>database!F17</f>
        <v>59131221.26493932</v>
      </c>
      <c r="E16" s="89">
        <v>0</v>
      </c>
      <c r="F16" s="89">
        <f>database!D17</f>
        <v>2314921.610091774</v>
      </c>
      <c r="G16" s="89">
        <f>D16+E16+F16</f>
        <v>61446142.8750311</v>
      </c>
      <c r="H16" s="103">
        <v>63349833.72924552</v>
      </c>
      <c r="I16" s="84">
        <f>H16-D16</f>
        <v>4218612.464306198</v>
      </c>
      <c r="J16" s="106">
        <f>I16/G16</f>
        <v>0.06865544795685538</v>
      </c>
      <c r="K16" s="91">
        <f>E16</f>
        <v>0</v>
      </c>
      <c r="L16" s="90">
        <v>0</v>
      </c>
      <c r="M16" s="90">
        <f>L16-K16</f>
        <v>0</v>
      </c>
      <c r="N16" s="92">
        <f>M16/G16</f>
        <v>0</v>
      </c>
      <c r="O16" s="91">
        <f>F16</f>
        <v>2314921.610091774</v>
      </c>
      <c r="P16" s="90">
        <v>0</v>
      </c>
      <c r="Q16" s="111">
        <f>P16-O16</f>
        <v>-2314921.610091774</v>
      </c>
      <c r="R16" s="92">
        <f>+Q16/G16</f>
        <v>-0.037673993871346026</v>
      </c>
      <c r="S16" s="91">
        <f t="shared" si="2"/>
        <v>63349833.72924552</v>
      </c>
      <c r="T16" s="90">
        <f t="shared" si="3"/>
        <v>1903690.8542144224</v>
      </c>
      <c r="U16" s="43">
        <f>T16/G16</f>
        <v>0.030981454085509334</v>
      </c>
    </row>
    <row r="17" spans="1:21" ht="12.75">
      <c r="A17">
        <f t="shared" si="0"/>
        <v>16</v>
      </c>
      <c r="B17" s="30" t="s">
        <v>68</v>
      </c>
      <c r="C17" s="16">
        <f>C15+C16</f>
        <v>921.7721280000001</v>
      </c>
      <c r="D17" s="70">
        <f>SUM(D15:D16)</f>
        <v>79252372.79119673</v>
      </c>
      <c r="E17" s="70">
        <f>SUM(E15:E16)</f>
        <v>0</v>
      </c>
      <c r="F17" s="70">
        <f>SUM(F15:F16)</f>
        <v>3062065.6218145154</v>
      </c>
      <c r="G17" s="70">
        <f>G15+G16</f>
        <v>82314438.41301125</v>
      </c>
      <c r="H17" s="103">
        <f>D17+I17</f>
        <v>84783871.56540158</v>
      </c>
      <c r="I17" s="89">
        <f>G17*J17</f>
        <v>5531498.774204855</v>
      </c>
      <c r="J17" s="47">
        <v>0.06719961747719952</v>
      </c>
      <c r="K17" s="35">
        <f>K15+K16</f>
        <v>0</v>
      </c>
      <c r="L17" s="17">
        <f>L15+L16</f>
        <v>0</v>
      </c>
      <c r="M17" s="17">
        <f>M15+M16</f>
        <v>0</v>
      </c>
      <c r="N17" s="46">
        <f>M17/G17</f>
        <v>0</v>
      </c>
      <c r="O17" s="35">
        <f>O15+O16</f>
        <v>3062065.6218145154</v>
      </c>
      <c r="P17" s="17">
        <f>SUM(P15:P16)</f>
        <v>0</v>
      </c>
      <c r="Q17" s="108">
        <f>SUM(Q15:Q16)</f>
        <v>-3062065.6218145154</v>
      </c>
      <c r="R17" s="46">
        <f>+Q17/G17</f>
        <v>-0.0371996174771995</v>
      </c>
      <c r="S17" s="86">
        <f t="shared" si="2"/>
        <v>84783871.56540158</v>
      </c>
      <c r="T17" s="17">
        <f t="shared" si="3"/>
        <v>2469433.152390331</v>
      </c>
      <c r="U17" s="47">
        <f>T17/G17</f>
        <v>0.02999999999999992</v>
      </c>
    </row>
    <row r="18" spans="1:21" ht="12.75">
      <c r="A18">
        <f t="shared" si="0"/>
        <v>17</v>
      </c>
      <c r="B18" s="41" t="s">
        <v>61</v>
      </c>
      <c r="C18" s="18">
        <v>0</v>
      </c>
      <c r="D18" s="71">
        <f>database!E19</f>
        <v>0</v>
      </c>
      <c r="E18" s="71">
        <v>0</v>
      </c>
      <c r="F18" s="71">
        <f>database!D19</f>
        <v>0</v>
      </c>
      <c r="G18" s="71">
        <f>D18+E18+F18</f>
        <v>0</v>
      </c>
      <c r="H18" s="101">
        <f>database!G19</f>
        <v>0</v>
      </c>
      <c r="I18" s="71">
        <f>+H18-D18</f>
        <v>0</v>
      </c>
      <c r="J18" s="96" t="s">
        <v>48</v>
      </c>
      <c r="K18" s="36">
        <f>E18</f>
        <v>0</v>
      </c>
      <c r="L18" s="19">
        <f>database!B19</f>
        <v>0</v>
      </c>
      <c r="M18" s="19">
        <f>L18-K18</f>
        <v>0</v>
      </c>
      <c r="N18" s="96" t="s">
        <v>48</v>
      </c>
      <c r="O18" s="36">
        <f>F18</f>
        <v>0</v>
      </c>
      <c r="P18" s="19">
        <f>database!B19</f>
        <v>0</v>
      </c>
      <c r="Q18" s="109">
        <f>P18-O18</f>
        <v>0</v>
      </c>
      <c r="R18" s="96" t="s">
        <v>48</v>
      </c>
      <c r="S18" s="36">
        <f t="shared" si="2"/>
        <v>0</v>
      </c>
      <c r="T18" s="19">
        <f t="shared" si="3"/>
        <v>0</v>
      </c>
      <c r="U18" s="96" t="s">
        <v>48</v>
      </c>
    </row>
    <row r="19" spans="1:21" ht="12.75">
      <c r="A19">
        <f t="shared" si="0"/>
        <v>18</v>
      </c>
      <c r="B19" s="29" t="s">
        <v>11</v>
      </c>
      <c r="C19" s="14">
        <f aca="true" t="shared" si="4" ref="C19:H19">C13+C14+C17+C18</f>
        <v>1694.845182</v>
      </c>
      <c r="D19" s="69">
        <f t="shared" si="4"/>
        <v>161474485.91392896</v>
      </c>
      <c r="E19" s="69">
        <f t="shared" si="4"/>
        <v>0</v>
      </c>
      <c r="F19" s="69">
        <f t="shared" si="4"/>
        <v>5454278.629672056</v>
      </c>
      <c r="G19" s="69">
        <f t="shared" si="4"/>
        <v>166928764.543601</v>
      </c>
      <c r="H19" s="99">
        <f t="shared" si="4"/>
        <v>171936627.47990903</v>
      </c>
      <c r="I19" s="69">
        <f>I13+I14+I17</f>
        <v>10462141.565980084</v>
      </c>
      <c r="J19" s="38">
        <f>I19/G19</f>
        <v>0.06267428860798537</v>
      </c>
      <c r="K19" s="34">
        <f>K13+K14+K17+K18</f>
        <v>0</v>
      </c>
      <c r="L19" s="15">
        <f>L13+L14+L17+L18</f>
        <v>0</v>
      </c>
      <c r="M19" s="15">
        <f>L19-K19</f>
        <v>0</v>
      </c>
      <c r="N19" s="38">
        <f>M19/G19</f>
        <v>0</v>
      </c>
      <c r="O19" s="34">
        <f>O13+O14+O17+O18</f>
        <v>5454278.629672056</v>
      </c>
      <c r="P19" s="15">
        <f>P13+P14+P17+P18</f>
        <v>0</v>
      </c>
      <c r="Q19" s="97">
        <f>P19-O19</f>
        <v>-5454278.629672056</v>
      </c>
      <c r="R19" s="38">
        <f>+Q19/G19</f>
        <v>-0.03267428860798538</v>
      </c>
      <c r="S19" s="34">
        <f>S13+S14+S17+S18</f>
        <v>171936627.47990903</v>
      </c>
      <c r="T19" s="15">
        <f t="shared" si="3"/>
        <v>5007862.936308026</v>
      </c>
      <c r="U19" s="38">
        <f>T19/G19</f>
        <v>0.029999999999999978</v>
      </c>
    </row>
    <row r="20" spans="1:21" ht="12.75">
      <c r="A20">
        <f t="shared" si="0"/>
        <v>19</v>
      </c>
      <c r="B20" s="30"/>
      <c r="C20" s="16"/>
      <c r="D20" s="70"/>
      <c r="E20" s="70"/>
      <c r="F20" s="70"/>
      <c r="G20" s="70"/>
      <c r="H20" s="100"/>
      <c r="I20" s="70"/>
      <c r="J20" s="47"/>
      <c r="K20" s="35"/>
      <c r="L20" s="17"/>
      <c r="M20" s="17"/>
      <c r="N20" s="47"/>
      <c r="O20" s="35"/>
      <c r="P20" s="17"/>
      <c r="Q20" s="108"/>
      <c r="R20" s="47"/>
      <c r="S20" s="35"/>
      <c r="T20" s="17"/>
      <c r="U20" s="47"/>
    </row>
    <row r="21" spans="1:21" ht="12.75">
      <c r="A21">
        <f t="shared" si="0"/>
        <v>20</v>
      </c>
      <c r="B21" s="30" t="s">
        <v>4</v>
      </c>
      <c r="C21" s="16">
        <v>191.729315</v>
      </c>
      <c r="D21" s="70">
        <f>database!F22</f>
        <v>19730300.226313043</v>
      </c>
      <c r="E21" s="70">
        <v>0</v>
      </c>
      <c r="F21" s="70">
        <f>database!D22</f>
        <v>525575.388646511</v>
      </c>
      <c r="G21" s="70">
        <f>D21+E21+F21</f>
        <v>20255875.614959553</v>
      </c>
      <c r="H21" s="100">
        <f>D21+I21</f>
        <v>20863551.883408338</v>
      </c>
      <c r="I21" s="70">
        <f>G21*J21</f>
        <v>1133251.6570952954</v>
      </c>
      <c r="J21" s="47">
        <v>0.05594681161343409</v>
      </c>
      <c r="K21" s="35">
        <f>E21</f>
        <v>0</v>
      </c>
      <c r="L21" s="17">
        <v>0</v>
      </c>
      <c r="M21" s="17">
        <f>L21-K21</f>
        <v>0</v>
      </c>
      <c r="N21" s="47">
        <f>M21/G21</f>
        <v>0</v>
      </c>
      <c r="O21" s="35">
        <f>F21</f>
        <v>525575.388646511</v>
      </c>
      <c r="P21" s="17">
        <v>0</v>
      </c>
      <c r="Q21" s="108">
        <f>P21-O21</f>
        <v>-525575.388646511</v>
      </c>
      <c r="R21" s="46">
        <f>+Q21/G21</f>
        <v>-0.025946811613434193</v>
      </c>
      <c r="S21" s="35">
        <f>+H21+L21+P21</f>
        <v>20863551.883408338</v>
      </c>
      <c r="T21" s="17">
        <f>S21-G21</f>
        <v>607676.268448785</v>
      </c>
      <c r="U21" s="47">
        <f>T21/G21</f>
        <v>0.02999999999999992</v>
      </c>
    </row>
    <row r="22" spans="1:21" ht="12.75">
      <c r="A22">
        <f t="shared" si="0"/>
        <v>21</v>
      </c>
      <c r="B22" s="41" t="s">
        <v>5</v>
      </c>
      <c r="C22" s="18">
        <v>97.81266</v>
      </c>
      <c r="D22" s="71">
        <f>database!F23</f>
        <v>21940357.7646</v>
      </c>
      <c r="E22" s="71">
        <v>0</v>
      </c>
      <c r="F22" s="71">
        <f>database!D23</f>
        <v>403570.4509134289</v>
      </c>
      <c r="G22" s="71">
        <f>D22+E22+F22</f>
        <v>22343928.21551343</v>
      </c>
      <c r="H22" s="101">
        <f>D22+I22</f>
        <v>23014246.061978836</v>
      </c>
      <c r="I22" s="71">
        <f>G22*J22</f>
        <v>1073888.2973788346</v>
      </c>
      <c r="J22" s="43">
        <v>0.04806175024466969</v>
      </c>
      <c r="K22" s="36">
        <f>E22</f>
        <v>0</v>
      </c>
      <c r="L22" s="19">
        <v>0</v>
      </c>
      <c r="M22" s="19">
        <f>L22-K22</f>
        <v>0</v>
      </c>
      <c r="N22" s="43">
        <f>M22/G22</f>
        <v>0</v>
      </c>
      <c r="O22" s="36">
        <f>F22</f>
        <v>403570.4509134289</v>
      </c>
      <c r="P22" s="19">
        <v>0</v>
      </c>
      <c r="Q22" s="109">
        <f>P22-O22</f>
        <v>-403570.4509134289</v>
      </c>
      <c r="R22" s="51">
        <f>+Q22/G22</f>
        <v>-0.018061750244669564</v>
      </c>
      <c r="S22" s="36">
        <f>+H22+L22+P22</f>
        <v>23014246.061978836</v>
      </c>
      <c r="T22" s="19">
        <f>S22-G22</f>
        <v>670317.8464654051</v>
      </c>
      <c r="U22" s="43">
        <f>T22/G22</f>
        <v>0.030000000000000096</v>
      </c>
    </row>
    <row r="23" spans="1:21" ht="12.75">
      <c r="A23">
        <f t="shared" si="0"/>
        <v>22</v>
      </c>
      <c r="B23" s="29" t="s">
        <v>23</v>
      </c>
      <c r="C23" s="14">
        <f>SUM(C21:C22)</f>
        <v>289.541975</v>
      </c>
      <c r="D23" s="69">
        <f>SUM(D21:D22)</f>
        <v>41670657.99091305</v>
      </c>
      <c r="E23" s="69">
        <f>SUM(E21:E22)</f>
        <v>0</v>
      </c>
      <c r="F23" s="69">
        <f>SUM(F21:F22)</f>
        <v>929145.8395599399</v>
      </c>
      <c r="G23" s="69">
        <f>G21+G22</f>
        <v>42599803.83047298</v>
      </c>
      <c r="H23" s="99">
        <f>SUM(H21:H22)</f>
        <v>43877797.94538717</v>
      </c>
      <c r="I23" s="69">
        <f>I21+I22</f>
        <v>2207139.9544741297</v>
      </c>
      <c r="J23" s="38">
        <f>I23/G23</f>
        <v>0.05181103563897853</v>
      </c>
      <c r="K23" s="34">
        <f>SUM(K21:K22)</f>
        <v>0</v>
      </c>
      <c r="L23" s="15">
        <f>SUM(L21:L22)</f>
        <v>0</v>
      </c>
      <c r="M23" s="15">
        <f>L23-K23</f>
        <v>0</v>
      </c>
      <c r="N23" s="38">
        <f>M23/G23</f>
        <v>0</v>
      </c>
      <c r="O23" s="34">
        <f>SUM(O21:O22)</f>
        <v>929145.8395599399</v>
      </c>
      <c r="P23" s="15">
        <f>SUM(P21:P22)</f>
        <v>0</v>
      </c>
      <c r="Q23" s="97">
        <f>P23-O23</f>
        <v>-929145.8395599399</v>
      </c>
      <c r="R23" s="38">
        <f>+Q23/G23</f>
        <v>-0.02181103563897852</v>
      </c>
      <c r="S23" s="34">
        <f>S21+S22</f>
        <v>43877797.94538717</v>
      </c>
      <c r="T23" s="15">
        <f>S23-G23</f>
        <v>1277994.1149141863</v>
      </c>
      <c r="U23" s="38">
        <f>T23/G23</f>
        <v>0.029999999999999926</v>
      </c>
    </row>
    <row r="24" spans="1:21" ht="12.75">
      <c r="A24">
        <f t="shared" si="0"/>
        <v>23</v>
      </c>
      <c r="B24" s="30"/>
      <c r="C24" s="16"/>
      <c r="D24" s="70"/>
      <c r="E24" s="70"/>
      <c r="F24" s="70"/>
      <c r="G24" s="70"/>
      <c r="H24" s="100"/>
      <c r="I24" s="70"/>
      <c r="J24" s="47"/>
      <c r="K24" s="35"/>
      <c r="L24" s="17"/>
      <c r="M24" s="17"/>
      <c r="N24" s="47"/>
      <c r="O24" s="35"/>
      <c r="P24" s="17"/>
      <c r="Q24" s="108"/>
      <c r="R24" s="47"/>
      <c r="S24" s="35"/>
      <c r="T24" s="17"/>
      <c r="U24" s="47"/>
    </row>
    <row r="25" spans="1:21" ht="12.75">
      <c r="A25">
        <f t="shared" si="0"/>
        <v>24</v>
      </c>
      <c r="B25" s="42" t="s">
        <v>25</v>
      </c>
      <c r="C25" s="14">
        <f aca="true" t="shared" si="5" ref="C25:H25">C6+C11+C19+C23</f>
        <v>9290.96717</v>
      </c>
      <c r="D25" s="69">
        <f t="shared" si="5"/>
        <v>1192771631.1599002</v>
      </c>
      <c r="E25" s="69">
        <f t="shared" si="5"/>
        <v>0</v>
      </c>
      <c r="F25" s="69">
        <f t="shared" si="5"/>
        <v>27556030.672780212</v>
      </c>
      <c r="G25" s="69">
        <f t="shared" si="5"/>
        <v>1220327661.8326802</v>
      </c>
      <c r="H25" s="99">
        <f t="shared" si="5"/>
        <v>1256937491.687661</v>
      </c>
      <c r="I25" s="69">
        <f>I6+I11+I19+I23</f>
        <v>64165860.52776087</v>
      </c>
      <c r="J25" s="38">
        <f>I25/G25</f>
        <v>0.0525808457307253</v>
      </c>
      <c r="K25" s="34">
        <f>K6+K11+K19+K23</f>
        <v>0</v>
      </c>
      <c r="L25" s="15">
        <f>L6+L11+L19+L23</f>
        <v>0</v>
      </c>
      <c r="M25" s="15">
        <f>L25-K25</f>
        <v>0</v>
      </c>
      <c r="N25" s="38">
        <f>M25/G25</f>
        <v>0</v>
      </c>
      <c r="O25" s="34">
        <f>O6+O11+O19+O23</f>
        <v>27556030.672780212</v>
      </c>
      <c r="P25" s="15">
        <f>P6+P11+P19+P23</f>
        <v>0</v>
      </c>
      <c r="Q25" s="97">
        <f>P25-O25</f>
        <v>-27556030.672780212</v>
      </c>
      <c r="R25" s="38">
        <f>+Q25/G25</f>
        <v>-0.022580845730725094</v>
      </c>
      <c r="S25" s="34">
        <f>S6+S11+S19+S23</f>
        <v>1256937491.687661</v>
      </c>
      <c r="T25" s="15">
        <f>S25-G25</f>
        <v>36609829.85498071</v>
      </c>
      <c r="U25" s="38">
        <f>T25/G25</f>
        <v>0.030000000000000245</v>
      </c>
    </row>
    <row r="26" spans="1:21" ht="12.75">
      <c r="A26">
        <f t="shared" si="0"/>
        <v>25</v>
      </c>
      <c r="B26" s="30"/>
      <c r="C26" s="16"/>
      <c r="D26" s="70"/>
      <c r="E26" s="70"/>
      <c r="F26" s="70"/>
      <c r="G26" s="70"/>
      <c r="H26" s="100"/>
      <c r="I26" s="70"/>
      <c r="J26" s="47"/>
      <c r="K26" s="35"/>
      <c r="L26" s="17"/>
      <c r="M26" s="17"/>
      <c r="N26" s="47"/>
      <c r="O26" s="35"/>
      <c r="P26" s="17"/>
      <c r="Q26" s="108"/>
      <c r="R26" s="47"/>
      <c r="S26" s="35"/>
      <c r="T26" s="17"/>
      <c r="U26" s="47"/>
    </row>
    <row r="27" spans="1:21" ht="12.75">
      <c r="A27">
        <f t="shared" si="0"/>
        <v>26</v>
      </c>
      <c r="B27" s="29" t="s">
        <v>46</v>
      </c>
      <c r="C27" s="16"/>
      <c r="D27" s="70"/>
      <c r="E27" s="70"/>
      <c r="F27" s="70"/>
      <c r="G27" s="70"/>
      <c r="H27" s="100"/>
      <c r="I27" s="70"/>
      <c r="J27" s="47"/>
      <c r="K27" s="35"/>
      <c r="L27" s="17"/>
      <c r="M27" s="17"/>
      <c r="N27" s="47"/>
      <c r="O27" s="35"/>
      <c r="P27" s="17"/>
      <c r="Q27" s="108"/>
      <c r="R27" s="38"/>
      <c r="S27" s="35"/>
      <c r="T27" s="17"/>
      <c r="U27" s="47"/>
    </row>
    <row r="28" spans="1:21" ht="12.75">
      <c r="A28">
        <f t="shared" si="0"/>
        <v>27</v>
      </c>
      <c r="B28" s="30" t="s">
        <v>6</v>
      </c>
      <c r="C28" s="16">
        <v>18.814683</v>
      </c>
      <c r="D28" s="70">
        <f>database!F29</f>
        <v>1071642</v>
      </c>
      <c r="E28" s="70">
        <v>0</v>
      </c>
      <c r="F28" s="70">
        <f>+database!D29</f>
        <v>0</v>
      </c>
      <c r="G28" s="70">
        <f>D28+E28+F28</f>
        <v>1071642</v>
      </c>
      <c r="H28" s="100">
        <f>database!G29</f>
        <v>1071642</v>
      </c>
      <c r="I28" s="70">
        <f>+H28-D28</f>
        <v>0</v>
      </c>
      <c r="J28" s="47">
        <v>0</v>
      </c>
      <c r="K28" s="35">
        <f>E28</f>
        <v>0</v>
      </c>
      <c r="L28" s="17">
        <v>0</v>
      </c>
      <c r="M28" s="17">
        <f>L28-K28</f>
        <v>0</v>
      </c>
      <c r="N28" s="47">
        <f>M28/G28</f>
        <v>0</v>
      </c>
      <c r="O28" s="35">
        <f>F28</f>
        <v>0</v>
      </c>
      <c r="P28" s="17">
        <v>0</v>
      </c>
      <c r="Q28" s="108">
        <f>P28-O28</f>
        <v>0</v>
      </c>
      <c r="R28" s="46">
        <f>+Q28/G28</f>
        <v>0</v>
      </c>
      <c r="S28" s="35">
        <f>+H28+L28+P28</f>
        <v>1071642</v>
      </c>
      <c r="T28" s="17">
        <f>S28-G28</f>
        <v>0</v>
      </c>
      <c r="U28" s="47">
        <f>T28/G28</f>
        <v>0</v>
      </c>
    </row>
    <row r="29" spans="1:21" ht="12.75">
      <c r="A29">
        <f t="shared" si="0"/>
        <v>28</v>
      </c>
      <c r="B29" s="31" t="s">
        <v>12</v>
      </c>
      <c r="C29" s="16">
        <v>178.92</v>
      </c>
      <c r="D29" s="70">
        <f>database!F31</f>
        <v>10241381</v>
      </c>
      <c r="E29" s="70">
        <v>0</v>
      </c>
      <c r="F29" s="70">
        <f>+database!D31</f>
        <v>290428.52609767375</v>
      </c>
      <c r="G29" s="70">
        <f>D29+E29+F29</f>
        <v>10531809.526097674</v>
      </c>
      <c r="H29" s="100">
        <f>database!G31</f>
        <v>10241381</v>
      </c>
      <c r="I29" s="70">
        <f>+H29-D29</f>
        <v>0</v>
      </c>
      <c r="J29" s="50">
        <v>0</v>
      </c>
      <c r="K29" s="35">
        <f>E29</f>
        <v>0</v>
      </c>
      <c r="L29" s="17">
        <v>0</v>
      </c>
      <c r="M29" s="17">
        <f>L29-K29</f>
        <v>0</v>
      </c>
      <c r="N29" s="47">
        <f>M29/G29</f>
        <v>0</v>
      </c>
      <c r="O29" s="35">
        <f>F29</f>
        <v>290428.52609767375</v>
      </c>
      <c r="P29" s="17">
        <v>0</v>
      </c>
      <c r="Q29" s="108">
        <f>P29-O29</f>
        <v>-290428.52609767375</v>
      </c>
      <c r="R29" s="46">
        <f>+Q29/G29</f>
        <v>-0.027576317761728978</v>
      </c>
      <c r="S29" s="35">
        <f>+H29+L29+P29</f>
        <v>10241381</v>
      </c>
      <c r="T29" s="108">
        <f>S29-G29</f>
        <v>-290428.5260976739</v>
      </c>
      <c r="U29" s="47">
        <f>T29/G29</f>
        <v>-0.027576317761728995</v>
      </c>
    </row>
    <row r="30" spans="2:21" ht="12.75">
      <c r="B30" s="31" t="s">
        <v>71</v>
      </c>
      <c r="C30" s="16">
        <v>322.080003</v>
      </c>
      <c r="D30" s="70">
        <f>database!F33</f>
        <v>21856349</v>
      </c>
      <c r="E30" s="70">
        <v>0</v>
      </c>
      <c r="F30" s="70">
        <f>database!D33</f>
        <v>1330573.3497849514</v>
      </c>
      <c r="G30" s="70">
        <f>D30+E30+F30</f>
        <v>23186922.34978495</v>
      </c>
      <c r="H30" s="100">
        <f>database!G33</f>
        <v>21856349</v>
      </c>
      <c r="I30" s="70">
        <f>+H30-D30</f>
        <v>0</v>
      </c>
      <c r="J30" s="50">
        <v>0</v>
      </c>
      <c r="K30" s="35">
        <f>E30</f>
        <v>0</v>
      </c>
      <c r="L30" s="17">
        <v>0</v>
      </c>
      <c r="M30" s="17">
        <f>L30-K30</f>
        <v>0</v>
      </c>
      <c r="N30" s="47">
        <f>M30/G30</f>
        <v>0</v>
      </c>
      <c r="O30" s="35">
        <f>F30</f>
        <v>1330573.3497849514</v>
      </c>
      <c r="P30" s="17">
        <v>0</v>
      </c>
      <c r="Q30" s="108">
        <f>P30-O30</f>
        <v>-1330573.3497849514</v>
      </c>
      <c r="R30" s="46">
        <f>+Q30/G30</f>
        <v>-0.05738464681567763</v>
      </c>
      <c r="S30" s="35">
        <f>+H30+L30+P30</f>
        <v>21856349</v>
      </c>
      <c r="T30" s="108">
        <f>S30-G30</f>
        <v>-1330573.3497849517</v>
      </c>
      <c r="U30" s="47">
        <f>T30/G30</f>
        <v>-0.057384646815677634</v>
      </c>
    </row>
    <row r="31" spans="1:21" ht="12.75">
      <c r="A31">
        <f>A29+1</f>
        <v>29</v>
      </c>
      <c r="B31" s="32" t="s">
        <v>13</v>
      </c>
      <c r="C31" s="18">
        <v>189</v>
      </c>
      <c r="D31" s="71">
        <f>database!F32</f>
        <v>9782311</v>
      </c>
      <c r="E31" s="71">
        <v>0</v>
      </c>
      <c r="F31" s="107">
        <f>+database!D32</f>
        <v>0</v>
      </c>
      <c r="G31" s="71">
        <f>D31+E31+F31</f>
        <v>9782311</v>
      </c>
      <c r="H31" s="101">
        <f>database!G32</f>
        <v>9782311</v>
      </c>
      <c r="I31" s="71">
        <f>+H31-D31</f>
        <v>0</v>
      </c>
      <c r="J31" s="43">
        <v>0</v>
      </c>
      <c r="K31" s="36">
        <f>E31</f>
        <v>0</v>
      </c>
      <c r="L31" s="19">
        <v>0</v>
      </c>
      <c r="M31" s="19">
        <f>L31-K31</f>
        <v>0</v>
      </c>
      <c r="N31" s="43">
        <f>M31/G31</f>
        <v>0</v>
      </c>
      <c r="O31" s="36">
        <f>F31</f>
        <v>0</v>
      </c>
      <c r="P31" s="19">
        <v>0</v>
      </c>
      <c r="Q31" s="109">
        <f>P31-O31</f>
        <v>0</v>
      </c>
      <c r="R31" s="51">
        <f>+Q31/G31</f>
        <v>0</v>
      </c>
      <c r="S31" s="36">
        <f>+H31+L31+P31</f>
        <v>9782311</v>
      </c>
      <c r="T31" s="109">
        <f>S31-G31</f>
        <v>0</v>
      </c>
      <c r="U31" s="43">
        <f>T31/G31</f>
        <v>0</v>
      </c>
    </row>
    <row r="32" spans="1:21" ht="12.75">
      <c r="A32">
        <f t="shared" si="0"/>
        <v>30</v>
      </c>
      <c r="B32" s="42" t="s">
        <v>47</v>
      </c>
      <c r="C32" s="14">
        <f>SUM(C28:C31)</f>
        <v>708.8146859999999</v>
      </c>
      <c r="D32" s="69">
        <f>SUM(D28:D31)</f>
        <v>42951683</v>
      </c>
      <c r="E32" s="69">
        <f>SUM(E28:E31)</f>
        <v>0</v>
      </c>
      <c r="F32" s="69">
        <f>SUM(F28:F31)</f>
        <v>1621001.875882625</v>
      </c>
      <c r="G32" s="69">
        <f>G28+G29+G30+G31</f>
        <v>44572684.875882626</v>
      </c>
      <c r="H32" s="99">
        <f>SUM(H28:H31)</f>
        <v>42951683</v>
      </c>
      <c r="I32" s="69">
        <f>+H32-D32</f>
        <v>0</v>
      </c>
      <c r="J32" s="38">
        <v>0</v>
      </c>
      <c r="K32" s="34">
        <f>SUM(K28:K31)</f>
        <v>0</v>
      </c>
      <c r="L32" s="15">
        <f>SUM(L28:L31)</f>
        <v>0</v>
      </c>
      <c r="M32" s="15">
        <f>L32-K32</f>
        <v>0</v>
      </c>
      <c r="N32" s="38">
        <f>M32/G32</f>
        <v>0</v>
      </c>
      <c r="O32" s="34">
        <f>SUM(O28:O31)</f>
        <v>1621001.875882625</v>
      </c>
      <c r="P32" s="15">
        <f>SUM(P28:P31)</f>
        <v>0</v>
      </c>
      <c r="Q32" s="97">
        <f>P32-O32</f>
        <v>-1621001.875882625</v>
      </c>
      <c r="R32" s="38">
        <f>+Q32/G32</f>
        <v>-0.03636760676177522</v>
      </c>
      <c r="S32" s="34">
        <f>SUM(S28:S31)</f>
        <v>42951683</v>
      </c>
      <c r="T32" s="97">
        <f>S32-G32</f>
        <v>-1621001.8758826256</v>
      </c>
      <c r="U32" s="38">
        <f>T32/G32</f>
        <v>-0.03636760676177523</v>
      </c>
    </row>
    <row r="33" spans="1:21" ht="12.75">
      <c r="A33">
        <f t="shared" si="0"/>
        <v>31</v>
      </c>
      <c r="B33" s="42"/>
      <c r="C33" s="14"/>
      <c r="D33" s="69"/>
      <c r="E33" s="69"/>
      <c r="F33" s="69"/>
      <c r="G33" s="69"/>
      <c r="H33" s="99"/>
      <c r="I33" s="69"/>
      <c r="J33" s="38"/>
      <c r="K33" s="34"/>
      <c r="L33" s="15"/>
      <c r="M33" s="15"/>
      <c r="N33" s="38"/>
      <c r="O33" s="34"/>
      <c r="P33" s="15"/>
      <c r="Q33" s="97"/>
      <c r="R33" s="38"/>
      <c r="S33" s="34"/>
      <c r="T33" s="15"/>
      <c r="U33" s="38"/>
    </row>
    <row r="34" spans="1:21" ht="12.75">
      <c r="A34">
        <f t="shared" si="0"/>
        <v>32</v>
      </c>
      <c r="B34" s="66" t="s">
        <v>87</v>
      </c>
      <c r="C34" s="14"/>
      <c r="D34" s="70">
        <f>database!F38</f>
        <v>3498726</v>
      </c>
      <c r="E34" s="70">
        <v>0</v>
      </c>
      <c r="F34" s="70">
        <v>0</v>
      </c>
      <c r="G34" s="70">
        <f>D34+E34+F34</f>
        <v>3498726</v>
      </c>
      <c r="H34" s="100">
        <f>D34+I34</f>
        <v>3603687.78</v>
      </c>
      <c r="I34" s="70">
        <f>G34*J34</f>
        <v>104961.78000000001</v>
      </c>
      <c r="J34" s="50">
        <v>0.030000000000000006</v>
      </c>
      <c r="K34" s="35">
        <v>0</v>
      </c>
      <c r="L34" s="15">
        <v>0</v>
      </c>
      <c r="M34" s="15">
        <v>0</v>
      </c>
      <c r="N34" s="95" t="s">
        <v>48</v>
      </c>
      <c r="O34" s="35">
        <f>F34</f>
        <v>0</v>
      </c>
      <c r="P34" s="15">
        <v>0</v>
      </c>
      <c r="Q34" s="97">
        <v>0</v>
      </c>
      <c r="R34" s="95" t="s">
        <v>48</v>
      </c>
      <c r="S34" s="35">
        <f>+H34+L34+P34</f>
        <v>3603687.78</v>
      </c>
      <c r="T34" s="17">
        <f>S34-G34</f>
        <v>104961.7799999998</v>
      </c>
      <c r="U34" s="46">
        <f>T34/G34</f>
        <v>0.02999999999999994</v>
      </c>
    </row>
    <row r="35" spans="1:21" ht="12.75">
      <c r="A35">
        <f t="shared" si="0"/>
        <v>33</v>
      </c>
      <c r="B35" s="30"/>
      <c r="C35" s="16"/>
      <c r="D35" s="70"/>
      <c r="E35" s="70"/>
      <c r="F35" s="70"/>
      <c r="G35" s="70"/>
      <c r="H35" s="100"/>
      <c r="I35" s="70"/>
      <c r="J35" s="47"/>
      <c r="K35" s="35"/>
      <c r="L35" s="17"/>
      <c r="M35" s="17"/>
      <c r="N35" s="47"/>
      <c r="O35" s="35"/>
      <c r="P35" s="17"/>
      <c r="Q35" s="108"/>
      <c r="R35" s="47"/>
      <c r="S35" s="35"/>
      <c r="T35" s="17"/>
      <c r="U35" s="47"/>
    </row>
    <row r="36" spans="1:21" ht="12.75">
      <c r="A36">
        <f t="shared" si="0"/>
        <v>34</v>
      </c>
      <c r="B36" s="28"/>
      <c r="C36" s="14"/>
      <c r="D36" s="72"/>
      <c r="E36" s="72"/>
      <c r="F36" s="72"/>
      <c r="G36" s="72"/>
      <c r="H36" s="104"/>
      <c r="I36" s="72"/>
      <c r="J36" s="47"/>
      <c r="K36" s="37"/>
      <c r="L36" s="20"/>
      <c r="M36" s="15"/>
      <c r="N36" s="38"/>
      <c r="O36" s="37"/>
      <c r="P36" s="20"/>
      <c r="Q36" s="112"/>
      <c r="R36" s="38"/>
      <c r="S36" s="37"/>
      <c r="T36" s="20"/>
      <c r="U36" s="38"/>
    </row>
    <row r="37" spans="1:21" ht="12.75">
      <c r="A37">
        <f t="shared" si="0"/>
        <v>35</v>
      </c>
      <c r="B37" s="29" t="s">
        <v>15</v>
      </c>
      <c r="C37" s="14">
        <f>C25+C32</f>
        <v>9999.781856</v>
      </c>
      <c r="D37" s="69">
        <f>D25+D32+D34</f>
        <v>1239222040.1599002</v>
      </c>
      <c r="E37" s="69">
        <f>E25+E32+E34</f>
        <v>0</v>
      </c>
      <c r="F37" s="69">
        <f>F25+F32+F34</f>
        <v>29177032.548662838</v>
      </c>
      <c r="G37" s="69">
        <f>G25+G32+G34</f>
        <v>1268399072.7085629</v>
      </c>
      <c r="H37" s="99">
        <f>H25+H32+H34</f>
        <v>1303492862.467661</v>
      </c>
      <c r="I37" s="69">
        <f>I25+I34</f>
        <v>64270822.30776087</v>
      </c>
      <c r="J37" s="38">
        <f>I37/G37</f>
        <v>0.05067082095110317</v>
      </c>
      <c r="K37" s="34">
        <f>K25+K32+K34</f>
        <v>0</v>
      </c>
      <c r="L37" s="97">
        <f>L25+L32+L34</f>
        <v>0</v>
      </c>
      <c r="M37" s="15">
        <f>L37-K37</f>
        <v>0</v>
      </c>
      <c r="N37" s="38">
        <f>M37/G37</f>
        <v>0</v>
      </c>
      <c r="O37" s="34">
        <f>O25+O32+O34</f>
        <v>29177032.548662838</v>
      </c>
      <c r="P37" s="15">
        <f>P25+P32+P34</f>
        <v>0</v>
      </c>
      <c r="Q37" s="97">
        <f>P37-O37</f>
        <v>-29177032.548662838</v>
      </c>
      <c r="R37" s="38">
        <f>+Q37/G37</f>
        <v>-0.023003038378416395</v>
      </c>
      <c r="S37" s="34">
        <f>S25+S32+S34</f>
        <v>1303492862.467661</v>
      </c>
      <c r="T37" s="15">
        <f>S37-G37</f>
        <v>35093789.75909805</v>
      </c>
      <c r="U37" s="38">
        <f>T37/G37</f>
        <v>0.027667782572686785</v>
      </c>
    </row>
    <row r="38" spans="1:21" ht="12.75">
      <c r="A38">
        <f t="shared" si="0"/>
        <v>36</v>
      </c>
      <c r="B38" s="30"/>
      <c r="C38" s="16"/>
      <c r="D38" s="70"/>
      <c r="E38" s="70"/>
      <c r="F38" s="70"/>
      <c r="G38" s="70"/>
      <c r="H38" s="100"/>
      <c r="I38" s="70"/>
      <c r="J38" s="47"/>
      <c r="K38" s="35"/>
      <c r="L38" s="17"/>
      <c r="M38" s="17"/>
      <c r="N38" s="47"/>
      <c r="O38" s="35"/>
      <c r="P38" s="17"/>
      <c r="Q38" s="108"/>
      <c r="R38" s="47"/>
      <c r="S38" s="35"/>
      <c r="T38" s="17"/>
      <c r="U38" s="47"/>
    </row>
    <row r="39" spans="1:21" ht="12.75">
      <c r="A39">
        <f t="shared" si="0"/>
        <v>37</v>
      </c>
      <c r="B39" s="21" t="s">
        <v>16</v>
      </c>
      <c r="C39" s="16">
        <v>29.522</v>
      </c>
      <c r="D39" s="70">
        <f>database!F42</f>
        <v>1943419</v>
      </c>
      <c r="E39" s="70">
        <v>0</v>
      </c>
      <c r="F39" s="70">
        <f>+database!D42</f>
        <v>0</v>
      </c>
      <c r="G39" s="70">
        <f>D39+E39+F39</f>
        <v>1943419</v>
      </c>
      <c r="H39" s="100">
        <f>database!G42</f>
        <v>1943419</v>
      </c>
      <c r="I39" s="70">
        <f>+H39-D39</f>
        <v>0</v>
      </c>
      <c r="J39" s="47">
        <v>0</v>
      </c>
      <c r="K39" s="35">
        <f>E39</f>
        <v>0</v>
      </c>
      <c r="L39" s="17">
        <v>0</v>
      </c>
      <c r="M39" s="17">
        <f>L39-K39</f>
        <v>0</v>
      </c>
      <c r="N39" s="46">
        <f>M39/G39</f>
        <v>0</v>
      </c>
      <c r="O39" s="35">
        <f>F39</f>
        <v>0</v>
      </c>
      <c r="P39" s="17">
        <v>0</v>
      </c>
      <c r="Q39" s="108">
        <f>P39-O39</f>
        <v>0</v>
      </c>
      <c r="R39" s="46">
        <f>+Q39/G39</f>
        <v>0</v>
      </c>
      <c r="S39" s="35">
        <f>+H39+L39+P39</f>
        <v>1943419</v>
      </c>
      <c r="T39" s="17">
        <f>S39-G39</f>
        <v>0</v>
      </c>
      <c r="U39" s="47">
        <f>T39/G39</f>
        <v>0</v>
      </c>
    </row>
    <row r="40" spans="1:21" ht="12.75">
      <c r="A40">
        <f t="shared" si="0"/>
        <v>38</v>
      </c>
      <c r="B40" s="21"/>
      <c r="C40" s="16"/>
      <c r="D40" s="70"/>
      <c r="E40" s="70"/>
      <c r="F40" s="70"/>
      <c r="G40" s="70"/>
      <c r="H40" s="100"/>
      <c r="I40" s="70"/>
      <c r="J40" s="47"/>
      <c r="K40" s="35"/>
      <c r="L40" s="17"/>
      <c r="M40" s="17"/>
      <c r="N40" s="47"/>
      <c r="O40" s="35"/>
      <c r="P40" s="17"/>
      <c r="Q40" s="108"/>
      <c r="R40" s="47"/>
      <c r="S40" s="35"/>
      <c r="T40" s="17"/>
      <c r="U40" s="47"/>
    </row>
    <row r="41" spans="1:21" ht="12.75">
      <c r="A41">
        <f t="shared" si="0"/>
        <v>39</v>
      </c>
      <c r="B41" s="28" t="s">
        <v>17</v>
      </c>
      <c r="C41" s="14">
        <f aca="true" t="shared" si="6" ref="C41:H41">C37+C39</f>
        <v>10029.303856</v>
      </c>
      <c r="D41" s="69">
        <f t="shared" si="6"/>
        <v>1241165459.1599002</v>
      </c>
      <c r="E41" s="69">
        <f t="shared" si="6"/>
        <v>0</v>
      </c>
      <c r="F41" s="69">
        <f t="shared" si="6"/>
        <v>29177032.548662838</v>
      </c>
      <c r="G41" s="69">
        <f t="shared" si="6"/>
        <v>1270342491.7085629</v>
      </c>
      <c r="H41" s="99">
        <f t="shared" si="6"/>
        <v>1305436281.467661</v>
      </c>
      <c r="I41" s="69">
        <f>I37+I39</f>
        <v>64270822.30776087</v>
      </c>
      <c r="J41" s="38">
        <f>I41/G41</f>
        <v>0.05059330277248227</v>
      </c>
      <c r="K41" s="34">
        <f>K37+K39</f>
        <v>0</v>
      </c>
      <c r="L41" s="15">
        <f>L37+L39</f>
        <v>0</v>
      </c>
      <c r="M41" s="15">
        <f>L41-K41</f>
        <v>0</v>
      </c>
      <c r="N41" s="38">
        <f>M41/G41</f>
        <v>0</v>
      </c>
      <c r="O41" s="34">
        <f>O37+O39</f>
        <v>29177032.548662838</v>
      </c>
      <c r="P41" s="15">
        <f>P37+P39</f>
        <v>0</v>
      </c>
      <c r="Q41" s="97">
        <f>P41-O41</f>
        <v>-29177032.548662838</v>
      </c>
      <c r="R41" s="38">
        <f>+Q41/G41</f>
        <v>-0.0229678474420082</v>
      </c>
      <c r="S41" s="34">
        <f>S37+S39</f>
        <v>1305436281.467661</v>
      </c>
      <c r="T41" s="15">
        <f>S41-G41</f>
        <v>35093789.75909805</v>
      </c>
      <c r="U41" s="38">
        <f>T41/G41</f>
        <v>0.02762545533047409</v>
      </c>
    </row>
    <row r="42" spans="1:21" ht="12.75">
      <c r="A42">
        <f t="shared" si="0"/>
        <v>40</v>
      </c>
      <c r="B42" s="21"/>
      <c r="C42" s="16"/>
      <c r="D42" s="70"/>
      <c r="E42" s="70"/>
      <c r="F42" s="70"/>
      <c r="G42" s="70"/>
      <c r="H42" s="100"/>
      <c r="I42" s="70"/>
      <c r="J42" s="47"/>
      <c r="K42" s="35"/>
      <c r="L42" s="17"/>
      <c r="M42" s="17"/>
      <c r="N42" s="47"/>
      <c r="O42" s="35"/>
      <c r="P42" s="17"/>
      <c r="Q42" s="108"/>
      <c r="R42" s="47"/>
      <c r="S42" s="35"/>
      <c r="T42" s="17"/>
      <c r="U42" s="47"/>
    </row>
    <row r="43" spans="1:21" ht="12.75">
      <c r="A43">
        <f t="shared" si="0"/>
        <v>41</v>
      </c>
      <c r="B43" s="30" t="s">
        <v>37</v>
      </c>
      <c r="C43" s="16">
        <f>709.715936+0.914</f>
        <v>710.629936</v>
      </c>
      <c r="D43" s="70">
        <f>database!F49</f>
        <v>22871176.99827166</v>
      </c>
      <c r="E43" s="70">
        <v>0</v>
      </c>
      <c r="F43" s="70">
        <v>0</v>
      </c>
      <c r="G43" s="70">
        <f>D43+E43+F43</f>
        <v>22871176.99827166</v>
      </c>
      <c r="H43" s="100">
        <f>D43+I43</f>
        <v>23190142.53484923</v>
      </c>
      <c r="I43" s="70">
        <f>G43*J43</f>
        <v>318965.5365775699</v>
      </c>
      <c r="J43" s="46">
        <v>0.013946179359360197</v>
      </c>
      <c r="K43" s="35">
        <f>E43</f>
        <v>0</v>
      </c>
      <c r="L43" s="17">
        <v>0</v>
      </c>
      <c r="M43" s="17">
        <f>L43-K43</f>
        <v>0</v>
      </c>
      <c r="N43" s="46">
        <f>M43/G43</f>
        <v>0</v>
      </c>
      <c r="O43" s="35">
        <f>F43</f>
        <v>0</v>
      </c>
      <c r="P43" s="17">
        <v>0</v>
      </c>
      <c r="Q43" s="108">
        <f>P43-O43</f>
        <v>0</v>
      </c>
      <c r="R43" s="46">
        <f>+Q43/G43</f>
        <v>0</v>
      </c>
      <c r="S43" s="35">
        <f>+H43+L43+P43</f>
        <v>23190142.53484923</v>
      </c>
      <c r="T43" s="17">
        <f>S43-G43</f>
        <v>318965.5365775712</v>
      </c>
      <c r="U43" s="47">
        <f>T43/G43</f>
        <v>0.013946179359360253</v>
      </c>
    </row>
    <row r="44" spans="1:21" ht="12.75">
      <c r="A44">
        <f t="shared" si="0"/>
        <v>42</v>
      </c>
      <c r="B44" s="21"/>
      <c r="C44" s="16"/>
      <c r="D44" s="70"/>
      <c r="E44" s="70"/>
      <c r="F44" s="70"/>
      <c r="G44" s="70"/>
      <c r="H44" s="100"/>
      <c r="I44" s="70"/>
      <c r="J44" s="47"/>
      <c r="K44" s="35"/>
      <c r="L44" s="17"/>
      <c r="M44" s="17"/>
      <c r="N44" s="47"/>
      <c r="O44" s="35"/>
      <c r="P44" s="17"/>
      <c r="Q44" s="108"/>
      <c r="R44" s="47"/>
      <c r="S44" s="35"/>
      <c r="T44" s="17"/>
      <c r="U44" s="47"/>
    </row>
    <row r="45" spans="1:21" ht="12.75">
      <c r="A45">
        <f t="shared" si="0"/>
        <v>43</v>
      </c>
      <c r="B45" s="27" t="s">
        <v>35</v>
      </c>
      <c r="C45" s="14">
        <f aca="true" t="shared" si="7" ref="C45:H45">C41+C43</f>
        <v>10739.933792</v>
      </c>
      <c r="D45" s="72">
        <f t="shared" si="7"/>
        <v>1264036636.158172</v>
      </c>
      <c r="E45" s="72">
        <f t="shared" si="7"/>
        <v>0</v>
      </c>
      <c r="F45" s="72">
        <f t="shared" si="7"/>
        <v>29177032.548662838</v>
      </c>
      <c r="G45" s="72">
        <f t="shared" si="7"/>
        <v>1293213668.7068346</v>
      </c>
      <c r="H45" s="104">
        <f t="shared" si="7"/>
        <v>1328626424.00251</v>
      </c>
      <c r="I45" s="72">
        <f>I41+I43</f>
        <v>64589787.84433844</v>
      </c>
      <c r="J45" s="38">
        <f>I45/G45</f>
        <v>0.04994517874909706</v>
      </c>
      <c r="K45" s="37">
        <f>K41+K43</f>
        <v>0</v>
      </c>
      <c r="L45" s="20">
        <f>L41+L43</f>
        <v>0</v>
      </c>
      <c r="M45" s="15">
        <f>L45-K45</f>
        <v>0</v>
      </c>
      <c r="N45" s="38">
        <f>M45/G45</f>
        <v>0</v>
      </c>
      <c r="O45" s="37">
        <f>O41+O43</f>
        <v>29177032.548662838</v>
      </c>
      <c r="P45" s="20">
        <f>P41+P43</f>
        <v>0</v>
      </c>
      <c r="Q45" s="97">
        <f>P45-O45</f>
        <v>-29177032.548662838</v>
      </c>
      <c r="R45" s="38">
        <f>+Q45/G45</f>
        <v>-0.022561648747371175</v>
      </c>
      <c r="S45" s="34">
        <f>S41+S43</f>
        <v>1328626424.00251</v>
      </c>
      <c r="T45" s="20">
        <f>S45-G45</f>
        <v>35412755.295675516</v>
      </c>
      <c r="U45" s="38">
        <f>T45/G45</f>
        <v>0.027383530001725817</v>
      </c>
    </row>
    <row r="46" spans="1:21" ht="12.75">
      <c r="A46">
        <f t="shared" si="0"/>
        <v>44</v>
      </c>
      <c r="B46" s="33"/>
      <c r="C46" s="7"/>
      <c r="D46" s="8"/>
      <c r="E46" s="8"/>
      <c r="F46" s="64"/>
      <c r="G46" s="64"/>
      <c r="H46" s="7"/>
      <c r="I46" s="64"/>
      <c r="J46" s="48"/>
      <c r="K46" s="7"/>
      <c r="L46" s="8"/>
      <c r="M46" s="8"/>
      <c r="N46" s="48"/>
      <c r="O46" s="7"/>
      <c r="P46" s="8"/>
      <c r="Q46" s="8"/>
      <c r="R46" s="48"/>
      <c r="S46" s="7"/>
      <c r="T46" s="8"/>
      <c r="U46" s="48"/>
    </row>
    <row r="47" spans="1:18" ht="12.75">
      <c r="A47">
        <f t="shared" si="0"/>
        <v>45</v>
      </c>
      <c r="F47" s="65"/>
      <c r="G47" s="73"/>
      <c r="I47" s="49"/>
      <c r="J47" s="67"/>
      <c r="N47" s="67"/>
      <c r="R47" s="67"/>
    </row>
    <row r="48" spans="1:19" ht="12.75">
      <c r="A48">
        <f t="shared" si="0"/>
        <v>46</v>
      </c>
      <c r="B48" t="s">
        <v>86</v>
      </c>
      <c r="F48" s="65"/>
      <c r="G48" s="98"/>
      <c r="H48" s="49"/>
      <c r="J48" s="67"/>
      <c r="N48" s="67"/>
      <c r="P48" s="49"/>
      <c r="R48" s="67"/>
      <c r="S48" s="49"/>
    </row>
    <row r="49" spans="1:18" ht="12.75">
      <c r="A49">
        <f t="shared" si="0"/>
        <v>47</v>
      </c>
      <c r="B49" t="s">
        <v>89</v>
      </c>
      <c r="F49" s="65"/>
      <c r="G49" s="76"/>
      <c r="H49" s="49"/>
      <c r="J49" s="67"/>
      <c r="N49" s="67"/>
      <c r="R49" s="67"/>
    </row>
    <row r="50" spans="3:21" ht="12.75">
      <c r="C50" s="75"/>
      <c r="D50" s="77"/>
      <c r="E50" s="77"/>
      <c r="F50" s="77"/>
      <c r="G50" s="77"/>
      <c r="H50" s="77"/>
      <c r="I50" s="77"/>
      <c r="J50" s="67"/>
      <c r="N50" s="67"/>
      <c r="P50" s="49"/>
      <c r="R50" s="67"/>
      <c r="T50" s="57"/>
      <c r="U50" s="67"/>
    </row>
    <row r="51" spans="2:21" ht="12.75">
      <c r="B51" s="74"/>
      <c r="C51" s="75"/>
      <c r="D51" s="77"/>
      <c r="E51" s="77"/>
      <c r="F51" s="77"/>
      <c r="G51" s="77"/>
      <c r="H51" s="77"/>
      <c r="I51" s="77"/>
      <c r="J51" s="67"/>
      <c r="N51" s="67"/>
      <c r="P51" s="49"/>
      <c r="R51" s="67"/>
      <c r="T51" s="57"/>
      <c r="U51" s="67"/>
    </row>
    <row r="52" spans="2:21" ht="12.75">
      <c r="B52" s="74"/>
      <c r="F52" s="65"/>
      <c r="G52" s="73"/>
      <c r="I52" s="49"/>
      <c r="J52" s="67"/>
      <c r="N52" s="67"/>
      <c r="P52" s="49"/>
      <c r="R52" s="67"/>
      <c r="U52" s="67"/>
    </row>
    <row r="53" spans="2:21" ht="12.75">
      <c r="B53" s="74"/>
      <c r="F53" s="65"/>
      <c r="G53" s="73"/>
      <c r="I53" s="77"/>
      <c r="J53" s="67"/>
      <c r="N53" s="67"/>
      <c r="P53" s="75"/>
      <c r="T53" s="57"/>
      <c r="U53" s="67"/>
    </row>
    <row r="54" spans="6:20" ht="12.75">
      <c r="F54" s="65"/>
      <c r="G54" s="73"/>
      <c r="J54" s="67"/>
      <c r="N54" s="67"/>
      <c r="P54" s="49"/>
      <c r="T54" s="57"/>
    </row>
    <row r="55" spans="6:20" ht="12.75">
      <c r="F55" s="65"/>
      <c r="G55" s="73"/>
      <c r="J55" s="67"/>
      <c r="N55" s="67"/>
      <c r="T55" s="57"/>
    </row>
    <row r="56" spans="6:14" ht="12.75">
      <c r="F56" s="65"/>
      <c r="J56" s="67"/>
      <c r="N56" s="67"/>
    </row>
    <row r="57" spans="10:14" ht="12.75">
      <c r="J57" s="67"/>
      <c r="N57" s="67"/>
    </row>
    <row r="58" spans="10:14" ht="12.75">
      <c r="J58" s="67"/>
      <c r="N58" s="67"/>
    </row>
    <row r="59" spans="10:14" ht="12.75">
      <c r="J59" s="67"/>
      <c r="N59" s="67"/>
    </row>
    <row r="60" spans="10:14" ht="12.75">
      <c r="J60" s="67"/>
      <c r="N60" s="67"/>
    </row>
    <row r="61" ht="12.75">
      <c r="J61" s="67"/>
    </row>
    <row r="62" ht="12.75">
      <c r="J62" s="67"/>
    </row>
    <row r="63" ht="12.75">
      <c r="J63" s="67"/>
    </row>
    <row r="64" ht="12.75">
      <c r="J64" s="67"/>
    </row>
    <row r="65" ht="12.75">
      <c r="J65" s="67"/>
    </row>
  </sheetData>
  <sheetProtection/>
  <mergeCells count="5">
    <mergeCell ref="B1:U1"/>
    <mergeCell ref="H2:J2"/>
    <mergeCell ref="K2:N2"/>
    <mergeCell ref="O2:R2"/>
    <mergeCell ref="S2:U2"/>
  </mergeCells>
  <printOptions/>
  <pageMargins left="0.2" right="0.2" top="0.23" bottom="0.23" header="0.17" footer="0.17"/>
  <pageSetup fitToHeight="1" fitToWidth="1" horizontalDpi="600" verticalDpi="600" orientation="landscape" paperSize="17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Clarissa Jamieson</dc:creator>
  <cp:keywords/>
  <dc:description/>
  <cp:lastModifiedBy>TODD, MELISSA</cp:lastModifiedBy>
  <cp:lastPrinted>2012-06-18T18:36:30Z</cp:lastPrinted>
  <dcterms:created xsi:type="dcterms:W3CDTF">2010-02-08T13:29:36Z</dcterms:created>
  <dcterms:modified xsi:type="dcterms:W3CDTF">2012-06-18T18:36:47Z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SecurityLog">
    <vt:lpwstr>&lt;Log Date="-8588610233156755285" Reason="ItemUpdated" Error=""&gt;&lt;Rule Message="" Name="Admin" /&gt;&lt;/Log&gt;</vt:lpwstr>
  </property>
  <property fmtid="{D5CDD505-2E9C-101B-9397-08002B2CF9AE}" pid="3" name="display_urn:schemas-microsoft-com:office:office#IR_Owner">
    <vt:lpwstr>GRUS, VOYTEK</vt:lpwstr>
  </property>
  <property fmtid="{D5CDD505-2E9C-101B-9397-08002B2CF9AE}" pid="4" name="IR_Received_Date">
    <vt:lpwstr>2012-06-11T00:00:00Z</vt:lpwstr>
  </property>
  <property fmtid="{D5CDD505-2E9C-101B-9397-08002B2CF9AE}" pid="5" name="IR_Filing_Date">
    <vt:lpwstr>2012-06-25T00:00:00Z</vt:lpwstr>
  </property>
  <property fmtid="{D5CDD505-2E9C-101B-9397-08002B2CF9AE}" pid="6" name="Order">
    <vt:lpwstr>87100.0000000000</vt:lpwstr>
  </property>
  <property fmtid="{D5CDD505-2E9C-101B-9397-08002B2CF9AE}" pid="7" name="IR_Owner">
    <vt:lpwstr>48</vt:lpwstr>
  </property>
  <property fmtid="{D5CDD505-2E9C-101B-9397-08002B2CF9AE}" pid="8" name="IR_Witness">
    <vt:lpwstr/>
  </property>
  <property fmtid="{D5CDD505-2E9C-101B-9397-08002B2CF9AE}" pid="9" name="display_urn:schemas-microsoft-com:office:office#IR_Writer">
    <vt:lpwstr>POWER, LISA</vt:lpwstr>
  </property>
  <property fmtid="{D5CDD505-2E9C-101B-9397-08002B2CF9AE}" pid="10" name="IR_Writer">
    <vt:lpwstr>343</vt:lpwstr>
  </property>
  <property fmtid="{D5CDD505-2E9C-101B-9397-08002B2CF9AE}" pid="11" name="IR_Context">
    <vt:lpwstr>20</vt:lpwstr>
  </property>
  <property fmtid="{D5CDD505-2E9C-101B-9397-08002B2CF9AE}" pid="12" name="IR_Subtopic">
    <vt:lpwstr>215</vt:lpwstr>
  </property>
  <property fmtid="{D5CDD505-2E9C-101B-9397-08002B2CF9AE}" pid="13" name="IR_Status">
    <vt:lpwstr>20</vt:lpwstr>
  </property>
  <property fmtid="{D5CDD505-2E9C-101B-9397-08002B2CF9AE}" pid="14" name="IR_Requester">
    <vt:lpwstr>9</vt:lpwstr>
  </property>
  <property fmtid="{D5CDD505-2E9C-101B-9397-08002B2CF9AE}" pid="15" name="IR_Responder">
    <vt:lpwstr>15</vt:lpwstr>
  </property>
  <property fmtid="{D5CDD505-2E9C-101B-9397-08002B2CF9AE}" pid="16" name="WorkflowCreationPath">
    <vt:lpwstr>ccae7124-5fa8-4cd4-971b-8551cd07147b,8;</vt:lpwstr>
  </property>
  <property fmtid="{D5CDD505-2E9C-101B-9397-08002B2CF9AE}" pid="17" name="IR_Review_Sort">
    <vt:lpwstr>CA IR 051-075</vt:lpwstr>
  </property>
  <property fmtid="{D5CDD505-2E9C-101B-9397-08002B2CF9AE}" pid="18" name="ContentType">
    <vt:lpwstr>Document</vt:lpwstr>
  </property>
  <property fmtid="{D5CDD505-2E9C-101B-9397-08002B2CF9AE}" pid="19" name="IR_Description_Field">
    <vt:lpwstr/>
  </property>
</Properties>
</file>