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18060" windowHeight="8040" tabRatio="855" activeTab="1"/>
  </bookViews>
  <sheets>
    <sheet name="AA Calculation" sheetId="1" r:id="rId1"/>
    <sheet name="BCF Allocation" sheetId="2" r:id="rId2"/>
    <sheet name="Monthly Fuel Cost Allocation" sheetId="3" r:id="rId3"/>
    <sheet name="Monthly Energy Allocators" sheetId="4" r:id="rId4"/>
    <sheet name="Monthly LL" sheetId="5" r:id="rId5"/>
    <sheet name="Data Inputs - 2011" sheetId="6" r:id="rId6"/>
    <sheet name="Data Inputs - 2012" sheetId="7" r:id="rId7"/>
    <sheet name="3CP &amp; Rate Base" sheetId="8" r:id="rId8"/>
  </sheets>
  <definedNames>
    <definedName name="AA_calc">'AA Calculation'!$D$12:$V$38</definedName>
    <definedName name="AA_calc_adj">#REF!</definedName>
    <definedName name="AA_calculation">#REF!</definedName>
    <definedName name="FAMvsDSM">#REF!</definedName>
    <definedName name="Fuel_Cost_bfr_Interest">'BCF Allocation'!$C$15:$AC$64</definedName>
    <definedName name="_xlnm.Print_Area" localSheetId="7">'3CP &amp; Rate Base'!$A$1:$O$57</definedName>
    <definedName name="_xlnm.Print_Area" localSheetId="0">'AA Calculation'!$A$1:$V$40</definedName>
    <definedName name="_xlnm.Print_Area" localSheetId="1">'BCF Allocation'!$A$1:$AC$64</definedName>
    <definedName name="_xlnm.Print_Area" localSheetId="5">'Data Inputs - 2011'!$A$1:$O$177</definedName>
    <definedName name="_xlnm.Print_Area" localSheetId="6">'Data Inputs - 2012'!$A$1:$N$36</definedName>
    <definedName name="_xlnm.Print_Area" localSheetId="3">'Monthly Energy Allocators'!$A$1:$N$149</definedName>
    <definedName name="_xlnm.Print_Area" localSheetId="2">'Monthly Fuel Cost Allocation'!$A$1:$N$83</definedName>
    <definedName name="_xlnm.Print_Area" localSheetId="4">'Monthly LL'!$A$1:$N$95</definedName>
    <definedName name="_xlnm.Print_Titles" localSheetId="0">'AA Calculation'!$A:$C,'AA Calculation'!$1:$8</definedName>
    <definedName name="_xlnm.Print_Titles" localSheetId="1">'BCF Allocation'!$A:$B,'BCF Allocation'!$2:$14</definedName>
    <definedName name="_xlnm.Print_Titles" localSheetId="5">'Data Inputs - 2011'!$1:$1</definedName>
    <definedName name="_xlnm.Print_Titles" localSheetId="3">'Monthly Energy Allocators'!$1:$1</definedName>
    <definedName name="_xlnm.Print_Titles" localSheetId="2">'Monthly Fuel Cost Allocation'!$1:$6</definedName>
    <definedName name="_xlnm.Print_Titles" localSheetId="4">'Monthly LL'!$1:$1</definedName>
    <definedName name="solver_adj" localSheetId="2" hidden="1">'Monthly Fuel Cost Allocation'!$A$4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'Monthly Fuel Cost Allocation'!$A$4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<sst xmlns="http://schemas.openxmlformats.org/spreadsheetml/2006/main" count="744" uniqueCount="336">
  <si>
    <t>COLUMN</t>
  </si>
  <si>
    <t>C</t>
  </si>
  <si>
    <t>D</t>
  </si>
  <si>
    <t>E</t>
  </si>
  <si>
    <t>F</t>
  </si>
  <si>
    <t>G</t>
  </si>
  <si>
    <t>FORMULA</t>
  </si>
  <si>
    <t>Rate Class</t>
  </si>
  <si>
    <t>cents per kWh</t>
  </si>
  <si>
    <t xml:space="preserve">    Residential non ETS</t>
  </si>
  <si>
    <t xml:space="preserve">    Residential ETS</t>
  </si>
  <si>
    <t xml:space="preserve">    Small General</t>
  </si>
  <si>
    <t xml:space="preserve">    General Demand</t>
  </si>
  <si>
    <t xml:space="preserve">    Large General</t>
  </si>
  <si>
    <t xml:space="preserve">    Small Industrial</t>
  </si>
  <si>
    <t xml:space="preserve">    Medium Industrial</t>
  </si>
  <si>
    <t xml:space="preserve">    Large Industrial</t>
  </si>
  <si>
    <t xml:space="preserve">    Municipal</t>
  </si>
  <si>
    <t>I</t>
  </si>
  <si>
    <t>H</t>
  </si>
  <si>
    <t>J</t>
  </si>
  <si>
    <t>Line #</t>
  </si>
  <si>
    <t>K</t>
  </si>
  <si>
    <t>Relative Share</t>
  </si>
  <si>
    <t>L</t>
  </si>
  <si>
    <t>M</t>
  </si>
  <si>
    <t xml:space="preserve">   ATL Subtotal / Average</t>
  </si>
  <si>
    <t>Export Revenues</t>
  </si>
  <si>
    <t>NA</t>
  </si>
  <si>
    <t>Grand Total</t>
  </si>
  <si>
    <t>Mersey S.</t>
  </si>
  <si>
    <t xml:space="preserve">GRLF </t>
  </si>
  <si>
    <t>O</t>
  </si>
  <si>
    <t xml:space="preserve">Fuel Costs used for FAM purposes </t>
  </si>
  <si>
    <t>Adjusted for R/C ratio and Unbalanced</t>
  </si>
  <si>
    <t>Fuel-related  C o s t s   f r o m   C O S</t>
  </si>
  <si>
    <t xml:space="preserve">Adjusted for R/C ratio and Balanced </t>
  </si>
  <si>
    <t>P</t>
  </si>
  <si>
    <t xml:space="preserve">    ELI 2P-RTP (base rate)</t>
  </si>
  <si>
    <t>ATL Classes</t>
  </si>
  <si>
    <t>Variable</t>
  </si>
  <si>
    <t xml:space="preserve"> Total</t>
  </si>
  <si>
    <t>Fuel Costs before Purchased Power</t>
  </si>
  <si>
    <t>Cost Allocation Factors</t>
  </si>
  <si>
    <t>Total</t>
  </si>
  <si>
    <t>Fuel Costs net of Purchased Power</t>
  </si>
  <si>
    <t>Small General</t>
  </si>
  <si>
    <t>General</t>
  </si>
  <si>
    <t>Large General</t>
  </si>
  <si>
    <t>Small Industrial</t>
  </si>
  <si>
    <t>Medium Industrial</t>
  </si>
  <si>
    <t>Large Industrial</t>
  </si>
  <si>
    <t>Municipal</t>
  </si>
  <si>
    <t>Unmetered</t>
  </si>
  <si>
    <t>Domestic</t>
  </si>
  <si>
    <t>ELI 2P-RTP</t>
  </si>
  <si>
    <t>ATL Total</t>
  </si>
  <si>
    <t>GRLF</t>
  </si>
  <si>
    <t xml:space="preserve">  kWh Sales</t>
  </si>
  <si>
    <t xml:space="preserve">  Admin Charge Revenues</t>
  </si>
  <si>
    <t xml:space="preserve">  Total Revenues</t>
  </si>
  <si>
    <t xml:space="preserve">   Fuel Costs</t>
  </si>
  <si>
    <t xml:space="preserve">ATL-related Fuel costs </t>
  </si>
  <si>
    <t>Fuel costs before PP</t>
  </si>
  <si>
    <t>N</t>
  </si>
  <si>
    <t>R</t>
  </si>
  <si>
    <t>S</t>
  </si>
  <si>
    <t>T</t>
  </si>
  <si>
    <t>Fixed</t>
  </si>
  <si>
    <t xml:space="preserve"> Energy-related</t>
  </si>
  <si>
    <t>Demand-related</t>
  </si>
  <si>
    <t>KW Demand</t>
  </si>
  <si>
    <t>Relative Shares</t>
  </si>
  <si>
    <t>KWh Energy</t>
  </si>
  <si>
    <t>Additional Energy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</si>
  <si>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</si>
  <si>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</si>
  <si>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</si>
  <si>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</si>
  <si>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</si>
  <si>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</si>
  <si>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</si>
  <si>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</si>
  <si>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</si>
  <si>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</si>
  <si>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</si>
  <si>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</si>
  <si>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</t>
  </si>
  <si>
    <t>kWh Sales</t>
  </si>
  <si>
    <t>Revenues</t>
  </si>
  <si>
    <t>BTL with AE (direct expenses)</t>
  </si>
  <si>
    <t>BTL Classes</t>
  </si>
  <si>
    <t>Export kWh Sales</t>
  </si>
  <si>
    <t>Domestic Non-TOU</t>
  </si>
  <si>
    <t>Domestic TOU</t>
  </si>
  <si>
    <t>Domestic Total</t>
  </si>
  <si>
    <t>BTL</t>
  </si>
  <si>
    <t>Exports</t>
  </si>
  <si>
    <t>ATL</t>
  </si>
  <si>
    <t>BTL Total</t>
  </si>
  <si>
    <t>Mersey</t>
  </si>
  <si>
    <t>Total w/o exports</t>
  </si>
  <si>
    <t>Purchased Power Regular</t>
  </si>
  <si>
    <t>Purchased Power Wind</t>
  </si>
  <si>
    <t xml:space="preserve">  DSM-related Revenues</t>
  </si>
  <si>
    <t>DSM Unit Costs</t>
  </si>
  <si>
    <t>Subtotal</t>
  </si>
  <si>
    <t>Fuel Related - Water Royalties</t>
  </si>
  <si>
    <t>Mersey contract Water Royalties</t>
  </si>
  <si>
    <t xml:space="preserve">    PP Wind</t>
  </si>
  <si>
    <t xml:space="preserve">    PP Regular</t>
  </si>
  <si>
    <t>U</t>
  </si>
  <si>
    <t>V</t>
  </si>
  <si>
    <t>Q</t>
  </si>
  <si>
    <t>W</t>
  </si>
  <si>
    <t>Z</t>
  </si>
  <si>
    <t>X</t>
  </si>
  <si>
    <t>Y</t>
  </si>
  <si>
    <t>K + L</t>
  </si>
  <si>
    <t>J + K + l</t>
  </si>
  <si>
    <t>P + Q</t>
  </si>
  <si>
    <t>O + P + Q</t>
  </si>
  <si>
    <t>I + N + S</t>
  </si>
  <si>
    <t>Annual</t>
  </si>
  <si>
    <t xml:space="preserve">    14 MW block</t>
  </si>
  <si>
    <t xml:space="preserve">   GRLF </t>
  </si>
  <si>
    <t xml:space="preserve">   ELI 2P-RTP (debits &amp; credits only)</t>
  </si>
  <si>
    <t xml:space="preserve">   Mersey Basic Block  (Energy entitlements)</t>
  </si>
  <si>
    <t>Total Fuel Costs</t>
  </si>
  <si>
    <t>Unit Fuel rates</t>
  </si>
  <si>
    <t xml:space="preserve">  Debits</t>
  </si>
  <si>
    <t xml:space="preserve">  Credits</t>
  </si>
  <si>
    <t>OM&amp;G (Solid Fuel Handling) recovered in fuels</t>
  </si>
  <si>
    <t>Foreign Exchange (Fuel-related)</t>
  </si>
  <si>
    <t>ELI 2P-RTP Debits\Credits</t>
  </si>
  <si>
    <t>Export kWh Losses</t>
  </si>
  <si>
    <t>NSR</t>
  </si>
  <si>
    <t>In-province Sales</t>
  </si>
  <si>
    <t>Total Sales</t>
  </si>
  <si>
    <t>OM&amp;G costs recovered in fuels</t>
  </si>
  <si>
    <t>Total Fuel-related costs before Exports, OM&amp;G and Foreign Exchange</t>
  </si>
  <si>
    <t xml:space="preserve">Total Fuel-related costs </t>
  </si>
  <si>
    <t>AA</t>
  </si>
  <si>
    <t>AB</t>
  </si>
  <si>
    <t>T + U + V + W</t>
  </si>
  <si>
    <t>X x C</t>
  </si>
  <si>
    <t>AA / H</t>
  </si>
  <si>
    <t>Above-the-line Classes</t>
  </si>
  <si>
    <t>Puchased Power Allocation Factors.</t>
  </si>
  <si>
    <t>Below-the-line before Additional Energy</t>
  </si>
  <si>
    <t>Subtotal (BTL before AE &amp; Exports)</t>
  </si>
  <si>
    <t xml:space="preserve">   Total Below-the-line before Additional Energy</t>
  </si>
  <si>
    <t xml:space="preserve">    Fuel Costs  before PP</t>
  </si>
  <si>
    <t xml:space="preserve">    Residential Subtotal </t>
  </si>
  <si>
    <t xml:space="preserve">    Unmetered</t>
  </si>
  <si>
    <t>ELI 2P-RTP (Adjusted CBL)</t>
  </si>
  <si>
    <t>ELI2P-RTP Debits\Credits</t>
  </si>
  <si>
    <t xml:space="preserve">    Sections 2C and 2D</t>
  </si>
  <si>
    <t xml:space="preserve">    GR</t>
  </si>
  <si>
    <t xml:space="preserve">    LF</t>
  </si>
  <si>
    <t>AE total</t>
  </si>
  <si>
    <t>Mersey Basic Block</t>
  </si>
  <si>
    <t xml:space="preserve">    AE 14 MW block</t>
  </si>
  <si>
    <t xml:space="preserve">    AE Section 2C &amp; 2D</t>
  </si>
  <si>
    <t>Total GRLF</t>
  </si>
  <si>
    <t>Total Fuel Costs before New Page Gas Loss</t>
  </si>
  <si>
    <t>BTL before AE</t>
  </si>
  <si>
    <t>Total BTL Fuel Cost AE</t>
  </si>
  <si>
    <t>Fuel Costs excl. BTL bfr AE</t>
  </si>
  <si>
    <t xml:space="preserve">          Fuel Costs  before PP</t>
  </si>
  <si>
    <t xml:space="preserve">          PP Regular Costs</t>
  </si>
  <si>
    <t xml:space="preserve">          PP Wind Costs</t>
  </si>
  <si>
    <t xml:space="preserve">               Variable</t>
  </si>
  <si>
    <t xml:space="preserve">               Fixed Demand-related</t>
  </si>
  <si>
    <t xml:space="preserve">               Fixed Energy-related</t>
  </si>
  <si>
    <t xml:space="preserve">          Total</t>
  </si>
  <si>
    <t xml:space="preserve">               Total</t>
  </si>
  <si>
    <t xml:space="preserve">     AE Total</t>
  </si>
  <si>
    <t>GRL Admin Charge</t>
  </si>
  <si>
    <t>AE Multiplier</t>
  </si>
  <si>
    <t>LI AE fuel cost differential (c/kWh)</t>
  </si>
  <si>
    <t xml:space="preserve">kWh Sales </t>
  </si>
  <si>
    <t xml:space="preserve">Fuel Cost Allocators </t>
  </si>
  <si>
    <t>FOR THE YEAR ENDING DECEMBER 31, 2011</t>
  </si>
  <si>
    <t>Footnotes</t>
  </si>
  <si>
    <r>
      <t>R/C Ratios</t>
    </r>
    <r>
      <rPr>
        <b/>
        <vertAlign val="superscript"/>
        <sz val="12"/>
        <rFont val="Arial"/>
        <family val="2"/>
      </rPr>
      <t>(1)</t>
    </r>
  </si>
  <si>
    <r>
      <t>Energy Requirement</t>
    </r>
    <r>
      <rPr>
        <b/>
        <vertAlign val="superscript"/>
        <sz val="12"/>
        <rFont val="Arial"/>
        <family val="2"/>
      </rPr>
      <t>(2)</t>
    </r>
  </si>
  <si>
    <r>
      <t>kWhs Sales</t>
    </r>
    <r>
      <rPr>
        <b/>
        <vertAlign val="superscript"/>
        <sz val="12"/>
        <rFont val="Arial"/>
        <family val="2"/>
      </rPr>
      <t>(2)</t>
    </r>
  </si>
  <si>
    <r>
      <t>3 CP Demands</t>
    </r>
    <r>
      <rPr>
        <b/>
        <vertAlign val="superscript"/>
        <sz val="12"/>
        <rFont val="Arial"/>
        <family val="2"/>
      </rPr>
      <t>(2)</t>
    </r>
  </si>
  <si>
    <t>Base Cost of Fuel Cost of Service Allocation of Fuel Expenses among Rate Classes</t>
  </si>
  <si>
    <t>(2)  Source:  Forecast for 2011</t>
  </si>
  <si>
    <t>kWh requirements</t>
  </si>
  <si>
    <t>MONTHLY SYSTEM COINCIDENT PEAKS:  REQUIREMENTS, SALES, AND LOSSES BY RATE CLASS IN MWh PER HOUR</t>
  </si>
  <si>
    <t>Peak</t>
  </si>
  <si>
    <t>3CP</t>
  </si>
  <si>
    <t xml:space="preserve">    Residential non ToD</t>
  </si>
  <si>
    <t xml:space="preserve">    Residential ToD</t>
  </si>
  <si>
    <t xml:space="preserve">    Large Industrial With Interruptible</t>
  </si>
  <si>
    <t xml:space="preserve">    Large Industrial Firm</t>
  </si>
  <si>
    <t xml:space="preserve">    Large Industrial Interruptible Only</t>
  </si>
  <si>
    <t xml:space="preserve">    Gen. Repl. &amp; Load Follow.</t>
  </si>
  <si>
    <t xml:space="preserve">    Bowater Mersey</t>
  </si>
  <si>
    <t xml:space="preserve">    Mersey Additional Energy</t>
  </si>
  <si>
    <t xml:space="preserve">    ELI 2P-RTP</t>
  </si>
  <si>
    <t>NSR Peak:</t>
  </si>
  <si>
    <t>Rate Base</t>
  </si>
  <si>
    <t>Steam Plant</t>
  </si>
  <si>
    <t>Hydro Plant</t>
  </si>
  <si>
    <t>Wind Plant</t>
  </si>
  <si>
    <t>LM6000 Plant</t>
  </si>
  <si>
    <t>Gas Turbine Plant - Other</t>
  </si>
  <si>
    <t>Total Generation Plant</t>
  </si>
  <si>
    <t>General Property Plant</t>
  </si>
  <si>
    <t>Total Plant in Service</t>
  </si>
  <si>
    <t>2010</t>
  </si>
  <si>
    <t>2011</t>
  </si>
  <si>
    <t>Enviromental &amp; Fuel Conversion - CWIP</t>
  </si>
  <si>
    <t>Steam Plant - CWIP</t>
  </si>
  <si>
    <t>Environmental &amp; Fuel Conversion</t>
  </si>
  <si>
    <t>Hydro Plant - CWIP</t>
  </si>
  <si>
    <t>Wind Plant - CWIP</t>
  </si>
  <si>
    <t>Gas Turbine Plant</t>
  </si>
  <si>
    <t>Gas Turbine Plant - CWIP</t>
  </si>
  <si>
    <t>LM6000 Plant - CWIP</t>
  </si>
  <si>
    <t>General Property Plant - CWIP</t>
  </si>
  <si>
    <t>Average</t>
  </si>
  <si>
    <t>Dedicated Hydro Mersey Plant - Direct</t>
  </si>
  <si>
    <t>Initial Classification</t>
  </si>
  <si>
    <t>Total Company</t>
  </si>
  <si>
    <t>Demand</t>
  </si>
  <si>
    <t xml:space="preserve">Energy </t>
  </si>
  <si>
    <t>Customer</t>
  </si>
  <si>
    <t>Transmission Plant - CWIP</t>
  </si>
  <si>
    <t>Transmission Plant</t>
  </si>
  <si>
    <t>Distrbution Plant</t>
  </si>
  <si>
    <t>Further Classification</t>
  </si>
  <si>
    <t>System Coincident Load Factor</t>
  </si>
  <si>
    <t>Fully Classified</t>
  </si>
  <si>
    <t>Generation Rate Base</t>
  </si>
  <si>
    <t>% Var</t>
  </si>
  <si>
    <t>GRLF Total bfr MAE</t>
  </si>
  <si>
    <t>MAE fuel costs under LF</t>
  </si>
  <si>
    <t>MAE options (LIIR=1, LF=0)</t>
  </si>
  <si>
    <t>Total subject to FAM adj. (Above-the-line &amp; Additional Energy if under LIIR)</t>
  </si>
  <si>
    <t>Mersey System Total</t>
  </si>
  <si>
    <t>Mersey Section 2D related</t>
  </si>
  <si>
    <t>In-Province Total</t>
  </si>
  <si>
    <t>2P-RTP Increment. Energy Revenue</t>
  </si>
  <si>
    <t>2P-RTP Decrem. Energy Revenue</t>
  </si>
  <si>
    <t>Adjusted CBL</t>
  </si>
  <si>
    <t>2 PT RTP Incremental Energy Charges</t>
  </si>
  <si>
    <t>2 PT RTP Decremental Energy Rebates</t>
  </si>
  <si>
    <t>ELI-2P-RTP credits against MAE</t>
  </si>
  <si>
    <t>Total Debits\Credits</t>
  </si>
  <si>
    <t>Recovered Fuel Costs</t>
  </si>
  <si>
    <t>Simulated Collected Fuel Costs</t>
  </si>
  <si>
    <t>Variance</t>
  </si>
  <si>
    <t>Simulated Collected Fuel Costs for incentive calculations</t>
  </si>
  <si>
    <t>Simulated Interest expense calculations</t>
  </si>
  <si>
    <t>WACC</t>
  </si>
  <si>
    <t>Actual Fuel-related Costs</t>
  </si>
  <si>
    <t>Actual Fuel-related Cost Collections</t>
  </si>
  <si>
    <t>Cum Variance</t>
  </si>
  <si>
    <t>Interest Expense</t>
  </si>
  <si>
    <t>Cost of Service AA Calculations</t>
  </si>
  <si>
    <t>D - E</t>
  </si>
  <si>
    <t>Variance in Fuel Costs before Interest and Incentive</t>
  </si>
  <si>
    <t>Variance in Fuel Costs before  Incentive</t>
  </si>
  <si>
    <t xml:space="preserve">Variance in Fuel Costs </t>
  </si>
  <si>
    <t>Actual Fuel Costs</t>
  </si>
  <si>
    <t>Relative shares in total Variance</t>
  </si>
  <si>
    <t>Interest Amount</t>
  </si>
  <si>
    <t>Adjustment after interest</t>
  </si>
  <si>
    <t>Incentive Amount</t>
  </si>
  <si>
    <t>Adjustment after Incentive</t>
  </si>
  <si>
    <t>Forecast kWh Sales</t>
  </si>
  <si>
    <t>Cents per KWh</t>
  </si>
  <si>
    <t>Above the line Classes</t>
  </si>
  <si>
    <t xml:space="preserve">    Residential Subtotal</t>
  </si>
  <si>
    <t xml:space="preserve">   Above the line Subtotal / Average</t>
  </si>
  <si>
    <t>Fuel-related</t>
  </si>
  <si>
    <t>DSM revenue</t>
  </si>
  <si>
    <t>Mersey BB</t>
  </si>
  <si>
    <t>TSR</t>
  </si>
  <si>
    <t>Line Losses</t>
  </si>
  <si>
    <t>Line Loss Factors from the most recent GRA or BCFA</t>
  </si>
  <si>
    <t>Simulated Requirements bfr scaling</t>
  </si>
  <si>
    <t>TRS</t>
  </si>
  <si>
    <t>NSR (total sum)</t>
  </si>
  <si>
    <t>NSR simulated</t>
  </si>
  <si>
    <t>NSR actual</t>
  </si>
  <si>
    <t>NSR correction factor</t>
  </si>
  <si>
    <t>Simulated Requirements Scaled</t>
  </si>
  <si>
    <t>Additional Energy I</t>
  </si>
  <si>
    <t>Additional Energy II</t>
  </si>
  <si>
    <t xml:space="preserve">Additional Energy </t>
  </si>
  <si>
    <t xml:space="preserve">Variance (debit/credit) </t>
  </si>
  <si>
    <t>Additional Energy (LII option)</t>
  </si>
  <si>
    <t>Additional Energy (LF option)</t>
  </si>
  <si>
    <t>Foreign Exchange Interest Expense</t>
  </si>
  <si>
    <t>Total 1 (LIIR option)</t>
  </si>
  <si>
    <t>Total 2 (LF option)</t>
  </si>
  <si>
    <t xml:space="preserve">   Additional Energy (LF)</t>
  </si>
  <si>
    <t>Total subject to FAM adj. (ATL and AE if under LIIR)</t>
  </si>
  <si>
    <t>FOR THE YEAR ENDING DECEMBER 31, 2012</t>
  </si>
  <si>
    <t>Allocation of NPPH BA Share</t>
  </si>
  <si>
    <t>Adjustment after reallocation of NPPH Share</t>
  </si>
  <si>
    <t>Reallocation of NPPH's AA Contribution to all rate classes</t>
  </si>
  <si>
    <t>Actual Adjustment after Reallocation of NPPH's AA</t>
  </si>
  <si>
    <t>2012 Total</t>
  </si>
  <si>
    <t>(1)  Source:  COSS as per 2009 Compliance Filing</t>
  </si>
  <si>
    <t xml:space="preserve">Recovered Fuel Costs </t>
  </si>
  <si>
    <t>F / E</t>
  </si>
  <si>
    <t>F / F (Line 32)</t>
  </si>
  <si>
    <t>H x I (line 32)</t>
  </si>
  <si>
    <t>F + I</t>
  </si>
  <si>
    <t>H x K (line 32)</t>
  </si>
  <si>
    <t>J + K</t>
  </si>
  <si>
    <t>M x N (line32)</t>
  </si>
  <si>
    <t>L + N</t>
  </si>
  <si>
    <t>O / P</t>
  </si>
  <si>
    <t>Adjusted Relative Share (2)</t>
  </si>
  <si>
    <t>(2) Relative Shares (Column H) have been adjusted for the absence of New Page.  This adjustment is based on kilowatt sales</t>
  </si>
  <si>
    <t>(1) Additional Energy is priced under the LF rate in 2012 and therefore isn't subject to FAM responsibilities</t>
  </si>
  <si>
    <t>Total Electric Sales</t>
  </si>
  <si>
    <t>Export Losses</t>
  </si>
  <si>
    <t>Total In Province</t>
  </si>
  <si>
    <t>G x J      (line 29)</t>
  </si>
  <si>
    <t>G x K         (line 29)</t>
  </si>
  <si>
    <t>E x L          (line 29)</t>
  </si>
  <si>
    <t>G * O          (line 29)</t>
  </si>
  <si>
    <t>G X P        (line 29)</t>
  </si>
  <si>
    <t>E X Q         (line 29)</t>
  </si>
  <si>
    <t>G * U         (line 29)</t>
  </si>
  <si>
    <t>G * V            (line 29)</t>
  </si>
  <si>
    <t>G * W            (line 29)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</si>
</sst>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$-409]#,##0;[Red]\-[$$-409]#,##0"/>
    <numFmt numFmtId="170" formatCode="0.0%"/>
    <numFmt numFmtId="171" formatCode="[$$-1009]#,##0"/>
    <numFmt numFmtId="172" formatCode="&quot;$&quot;#,##0.00"/>
    <numFmt numFmtId="173" formatCode="#,##0.000000"/>
    <numFmt numFmtId="174" formatCode="_-* #,##0.00_-;\-* #,##0.00_-;_-* &quot;-&quot;??_-;_-@_-"/>
    <numFmt numFmtId="175" formatCode="_(&quot;$&quot;* #,##0.000_);_(&quot;$&quot;* \(#,##0.000\);_(&quot;$&quot;* &quot;-&quot;??_);_(@_)"/>
    <numFmt numFmtId="176" formatCode="[$$-409]#,##0_);\([$$-409]#,##0\)"/>
    <numFmt numFmtId="177" formatCode="_(&quot;$&quot;* #,##0_);_(&quot;$&quot;* \(#,##0\);_(&quot;$&quot;* &quot;-&quot;??_);_(@_)"/>
    <numFmt numFmtId="178" formatCode="0.0"/>
    <numFmt numFmtId="179" formatCode="&quot;$&quot;#,##0.000000_);\(&quot;$&quot;#,##0.000000\)"/>
    <numFmt numFmtId="180" formatCode="&quot;$&quot;#,##0.00000_);\(&quot;$&quot;#,##0.00000\)"/>
    <numFmt numFmtId="181" formatCode="&quot;$&quot;#,##0.0000_);\(&quot;$&quot;#,##0.0000\)"/>
    <numFmt numFmtId="182" formatCode="&quot;$&quot;#,##0.000_);\(&quot;$&quot;#,##0.000\)"/>
    <numFmt numFmtId="183" formatCode="&quot;$&quot;#,##0.0_);\(&quot;$&quot;#,##0.0\)"/>
    <numFmt numFmtId="184" formatCode="&quot;$&quot;#,##0.0_);[Red]\(&quot;$&quot;#,##0.0\)"/>
    <numFmt numFmtId="185" formatCode="&quot;$&quot;#,##0.00000_);[Red]\(&quot;$&quot;#,##0.00000\)"/>
    <numFmt numFmtId="186" formatCode="_(* #,##0.0_);_(* \(#,##0.0\);_(* &quot;-&quot;??_);_(@_)"/>
    <numFmt numFmtId="187" formatCode="_-&quot;$&quot;* #,##0.00_-;\-&quot;$&quot;* #,##0.00_-;_-&quot;$&quot;* &quot;-&quot;??_-;_-@_-"/>
    <numFmt numFmtId="188" formatCode="&quot;$&quot;#,##0.000_);[Red]\(&quot;$&quot;#,##0.000\)"/>
    <numFmt numFmtId="189" formatCode="&quot;$&quot;#,##0.0000_);[Red]\(&quot;$&quot;#,##0.0000\)"/>
    <numFmt numFmtId="190" formatCode="&quot;$&quot;#,##0.000000_);[Red]\(&quot;$&quot;#,##0.000000\)"/>
    <numFmt numFmtId="191" formatCode="[$-409]mmm\-yy;@"/>
    <numFmt numFmtId="192" formatCode="0.000"/>
    <numFmt numFmtId="193" formatCode="_-* #,##0.0_-;\-* #,##0.0_-;_-* &quot;-&quot;??_-;_-@_-"/>
    <numFmt numFmtId="194" formatCode="#,##0.0"/>
    <numFmt numFmtId="195" formatCode="_(* #,##0.0_);_(* \(#,##0.0\);_(* &quot;-&quot;???_);_(@_)"/>
    <numFmt numFmtId="196" formatCode="_(* #,##0.0_);_(* \(#,##0.0\);_(* &quot;-&quot;?_);_(@_)"/>
    <numFmt numFmtId="197" formatCode="_-&quot;$&quot;* #,##0_-;\-&quot;$&quot;* #,##0_-;_-&quot;$&quot;* &quot;-&quot;_-;_-@_-"/>
    <numFmt numFmtId="198" formatCode="_-* #,##0_-;\-* #,##0_-;_-* &quot;-&quot;_-;_-@_-"/>
    <numFmt numFmtId="199" formatCode="_-* #,##0_-;\-* #,##0_-;_-* &quot;-&quot;??_-;_-@_-"/>
    <numFmt numFmtId="200" formatCode="_-&quot;$&quot;* #,##0_-;\-&quot;$&quot;* #,##0_-;_-&quot;$&quot;* &quot;-&quot;??_-;_-@_-"/>
    <numFmt numFmtId="201" formatCode="000"/>
    <numFmt numFmtId="202" formatCode="0000"/>
    <numFmt numFmtId="203" formatCode="0.00000"/>
    <numFmt numFmtId="204" formatCode="#,##0.0000_);[Red]\(#,##0.0000\)"/>
    <numFmt numFmtId="205" formatCode="#,##0.000_);[Red]\(#,##0.000\)"/>
    <numFmt numFmtId="206" formatCode="mm/dd/yy_)"/>
    <numFmt numFmtId="207" formatCode="#,##0.00000_);[Red]\(#,##0.00000\)"/>
    <numFmt numFmtId="208" formatCode="yyyy"/>
    <numFmt numFmtId="209" formatCode="_-&quot;$&quot;* #,##0.00000000_-;\-&quot;$&quot;* #,##0.00000000_-;_-&quot;$&quot;* &quot;-&quot;??_-;_-@_-"/>
    <numFmt numFmtId="210" formatCode="_(* #,##0.000_);_(* \(#,##0.000\);_(* &quot;-&quot;???_);_(@_)"/>
  </numFmts>
  <fonts count="9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8"/>
      <name val="Arial"/>
      <family val="2"/>
    </font>
    <font>
      <u val="doubleAccounting"/>
      <sz val="9"/>
      <name val="Arial"/>
      <family val="2"/>
    </font>
    <font>
      <u val="doubleAccounting"/>
      <sz val="9"/>
      <color indexed="8"/>
      <name val="Arial"/>
      <family val="2"/>
    </font>
    <font>
      <b/>
      <u val="doubleAccounting"/>
      <sz val="9"/>
      <color indexed="8"/>
      <name val="Arial"/>
      <family val="2"/>
    </font>
    <font>
      <b/>
      <u val="doubleAccounting"/>
      <sz val="9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b/>
      <u val="singleAccounting"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doubleAccounting"/>
      <sz val="1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0"/>
      <name val="Arial"/>
      <family val="2"/>
    </font>
    <font>
      <b/>
      <sz val="36"/>
      <name val="Arial"/>
      <family val="2"/>
    </font>
    <font>
      <b/>
      <vertAlign val="superscript"/>
      <sz val="12"/>
      <name val="Arial"/>
      <family val="2"/>
    </font>
    <font>
      <sz val="12"/>
      <name val="Arial MT"/>
      <family val="0"/>
    </font>
    <font>
      <u val="single"/>
      <sz val="12"/>
      <name val="Arial MT"/>
      <family val="0"/>
    </font>
    <font>
      <b/>
      <u val="doubleAccounting"/>
      <sz val="11"/>
      <color indexed="8"/>
      <name val="Arial"/>
      <family val="2"/>
    </font>
    <font>
      <b/>
      <sz val="4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50" fillId="3" borderId="0" applyNumberFormat="0" applyBorder="0" applyAlignment="0" applyProtection="0"/>
    <xf numFmtId="0" fontId="74" fillId="4" borderId="0" applyNumberFormat="0" applyBorder="0" applyAlignment="0" applyProtection="0"/>
    <xf numFmtId="0" fontId="50" fillId="5" borderId="0" applyNumberFormat="0" applyBorder="0" applyAlignment="0" applyProtection="0"/>
    <xf numFmtId="0" fontId="74" fillId="6" borderId="0" applyNumberFormat="0" applyBorder="0" applyAlignment="0" applyProtection="0"/>
    <xf numFmtId="0" fontId="50" fillId="7" borderId="0" applyNumberFormat="0" applyBorder="0" applyAlignment="0" applyProtection="0"/>
    <xf numFmtId="0" fontId="74" fillId="8" borderId="0" applyNumberFormat="0" applyBorder="0" applyAlignment="0" applyProtection="0"/>
    <xf numFmtId="0" fontId="50" fillId="9" borderId="0" applyNumberFormat="0" applyBorder="0" applyAlignment="0" applyProtection="0"/>
    <xf numFmtId="0" fontId="74" fillId="10" borderId="0" applyNumberFormat="0" applyBorder="0" applyAlignment="0" applyProtection="0"/>
    <xf numFmtId="0" fontId="50" fillId="11" borderId="0" applyNumberFormat="0" applyBorder="0" applyAlignment="0" applyProtection="0"/>
    <xf numFmtId="0" fontId="74" fillId="12" borderId="0" applyNumberFormat="0" applyBorder="0" applyAlignment="0" applyProtection="0"/>
    <xf numFmtId="0" fontId="50" fillId="13" borderId="0" applyNumberFormat="0" applyBorder="0" applyAlignment="0" applyProtection="0"/>
    <xf numFmtId="0" fontId="74" fillId="14" borderId="0" applyNumberFormat="0" applyBorder="0" applyAlignment="0" applyProtection="0"/>
    <xf numFmtId="0" fontId="50" fillId="15" borderId="0" applyNumberFormat="0" applyBorder="0" applyAlignment="0" applyProtection="0"/>
    <xf numFmtId="0" fontId="74" fillId="16" borderId="0" applyNumberFormat="0" applyBorder="0" applyAlignment="0" applyProtection="0"/>
    <xf numFmtId="0" fontId="50" fillId="17" borderId="0" applyNumberFormat="0" applyBorder="0" applyAlignment="0" applyProtection="0"/>
    <xf numFmtId="0" fontId="74" fillId="18" borderId="0" applyNumberFormat="0" applyBorder="0" applyAlignment="0" applyProtection="0"/>
    <xf numFmtId="0" fontId="50" fillId="19" borderId="0" applyNumberFormat="0" applyBorder="0" applyAlignment="0" applyProtection="0"/>
    <xf numFmtId="0" fontId="74" fillId="20" borderId="0" applyNumberFormat="0" applyBorder="0" applyAlignment="0" applyProtection="0"/>
    <xf numFmtId="0" fontId="50" fillId="9" borderId="0" applyNumberFormat="0" applyBorder="0" applyAlignment="0" applyProtection="0"/>
    <xf numFmtId="0" fontId="74" fillId="21" borderId="0" applyNumberFormat="0" applyBorder="0" applyAlignment="0" applyProtection="0"/>
    <xf numFmtId="0" fontId="50" fillId="15" borderId="0" applyNumberFormat="0" applyBorder="0" applyAlignment="0" applyProtection="0"/>
    <xf numFmtId="0" fontId="74" fillId="22" borderId="0" applyNumberFormat="0" applyBorder="0" applyAlignment="0" applyProtection="0"/>
    <xf numFmtId="0" fontId="50" fillId="23" borderId="0" applyNumberFormat="0" applyBorder="0" applyAlignment="0" applyProtection="0"/>
    <xf numFmtId="0" fontId="75" fillId="24" borderId="0" applyNumberFormat="0" applyBorder="0" applyAlignment="0" applyProtection="0"/>
    <xf numFmtId="0" fontId="51" fillId="25" borderId="0" applyNumberFormat="0" applyBorder="0" applyAlignment="0" applyProtection="0"/>
    <xf numFmtId="0" fontId="75" fillId="26" borderId="0" applyNumberFormat="0" applyBorder="0" applyAlignment="0" applyProtection="0"/>
    <xf numFmtId="0" fontId="51" fillId="17" borderId="0" applyNumberFormat="0" applyBorder="0" applyAlignment="0" applyProtection="0"/>
    <xf numFmtId="0" fontId="75" fillId="27" borderId="0" applyNumberFormat="0" applyBorder="0" applyAlignment="0" applyProtection="0"/>
    <xf numFmtId="0" fontId="51" fillId="19" borderId="0" applyNumberFormat="0" applyBorder="0" applyAlignment="0" applyProtection="0"/>
    <xf numFmtId="0" fontId="75" fillId="28" borderId="0" applyNumberFormat="0" applyBorder="0" applyAlignment="0" applyProtection="0"/>
    <xf numFmtId="0" fontId="51" fillId="29" borderId="0" applyNumberFormat="0" applyBorder="0" applyAlignment="0" applyProtection="0"/>
    <xf numFmtId="0" fontId="75" fillId="30" borderId="0" applyNumberFormat="0" applyBorder="0" applyAlignment="0" applyProtection="0"/>
    <xf numFmtId="0" fontId="51" fillId="31" borderId="0" applyNumberFormat="0" applyBorder="0" applyAlignment="0" applyProtection="0"/>
    <xf numFmtId="0" fontId="75" fillId="32" borderId="0" applyNumberFormat="0" applyBorder="0" applyAlignment="0" applyProtection="0"/>
    <xf numFmtId="0" fontId="51" fillId="33" borderId="0" applyNumberFormat="0" applyBorder="0" applyAlignment="0" applyProtection="0"/>
    <xf numFmtId="0" fontId="75" fillId="34" borderId="0" applyNumberFormat="0" applyBorder="0" applyAlignment="0" applyProtection="0"/>
    <xf numFmtId="0" fontId="51" fillId="35" borderId="0" applyNumberFormat="0" applyBorder="0" applyAlignment="0" applyProtection="0"/>
    <xf numFmtId="0" fontId="75" fillId="36" borderId="0" applyNumberFormat="0" applyBorder="0" applyAlignment="0" applyProtection="0"/>
    <xf numFmtId="0" fontId="51" fillId="37" borderId="0" applyNumberFormat="0" applyBorder="0" applyAlignment="0" applyProtection="0"/>
    <xf numFmtId="0" fontId="75" fillId="38" borderId="0" applyNumberFormat="0" applyBorder="0" applyAlignment="0" applyProtection="0"/>
    <xf numFmtId="0" fontId="51" fillId="39" borderId="0" applyNumberFormat="0" applyBorder="0" applyAlignment="0" applyProtection="0"/>
    <xf numFmtId="0" fontId="75" fillId="40" borderId="0" applyNumberFormat="0" applyBorder="0" applyAlignment="0" applyProtection="0"/>
    <xf numFmtId="0" fontId="51" fillId="29" borderId="0" applyNumberFormat="0" applyBorder="0" applyAlignment="0" applyProtection="0"/>
    <xf numFmtId="0" fontId="75" fillId="41" borderId="0" applyNumberFormat="0" applyBorder="0" applyAlignment="0" applyProtection="0"/>
    <xf numFmtId="0" fontId="51" fillId="31" borderId="0" applyNumberFormat="0" applyBorder="0" applyAlignment="0" applyProtection="0"/>
    <xf numFmtId="0" fontId="75" fillId="42" borderId="0" applyNumberFormat="0" applyBorder="0" applyAlignment="0" applyProtection="0"/>
    <xf numFmtId="0" fontId="51" fillId="43" borderId="0" applyNumberFormat="0" applyBorder="0" applyAlignment="0" applyProtection="0"/>
    <xf numFmtId="0" fontId="76" fillId="44" borderId="0" applyNumberFormat="0" applyBorder="0" applyAlignment="0" applyProtection="0"/>
    <xf numFmtId="0" fontId="52" fillId="5" borderId="0" applyNumberFormat="0" applyBorder="0" applyAlignment="0" applyProtection="0"/>
    <xf numFmtId="0" fontId="77" fillId="45" borderId="1" applyNumberFormat="0" applyAlignment="0" applyProtection="0"/>
    <xf numFmtId="0" fontId="53" fillId="46" borderId="2" applyNumberFormat="0" applyAlignment="0" applyProtection="0"/>
    <xf numFmtId="0" fontId="78" fillId="47" borderId="3" applyNumberFormat="0" applyAlignment="0" applyProtection="0"/>
    <xf numFmtId="0" fontId="5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49" borderId="0" applyNumberFormat="0" applyBorder="0" applyAlignment="0" applyProtection="0"/>
    <xf numFmtId="0" fontId="56" fillId="7" borderId="0" applyNumberFormat="0" applyBorder="0" applyAlignment="0" applyProtection="0"/>
    <xf numFmtId="0" fontId="82" fillId="0" borderId="5" applyNumberFormat="0" applyFill="0" applyAlignment="0" applyProtection="0"/>
    <xf numFmtId="0" fontId="64" fillId="0" borderId="6" applyNumberFormat="0" applyFill="0" applyAlignment="0" applyProtection="0"/>
    <xf numFmtId="0" fontId="83" fillId="0" borderId="7" applyNumberFormat="0" applyFill="0" applyAlignment="0" applyProtection="0"/>
    <xf numFmtId="0" fontId="65" fillId="0" borderId="8" applyNumberFormat="0" applyFill="0" applyAlignment="0" applyProtection="0"/>
    <xf numFmtId="0" fontId="84" fillId="0" borderId="9" applyNumberFormat="0" applyFill="0" applyAlignment="0" applyProtection="0"/>
    <xf numFmtId="0" fontId="6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50" borderId="1" applyNumberFormat="0" applyAlignment="0" applyProtection="0"/>
    <xf numFmtId="0" fontId="57" fillId="13" borderId="2" applyNumberFormat="0" applyAlignment="0" applyProtection="0"/>
    <xf numFmtId="0" fontId="86" fillId="0" borderId="11" applyNumberFormat="0" applyFill="0" applyAlignment="0" applyProtection="0"/>
    <xf numFmtId="0" fontId="58" fillId="0" borderId="12" applyNumberFormat="0" applyFill="0" applyAlignment="0" applyProtection="0"/>
    <xf numFmtId="0" fontId="87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9" fillId="0" borderId="0">
      <alignment/>
      <protection/>
    </xf>
    <xf numFmtId="0" fontId="74" fillId="0" borderId="0">
      <alignment/>
      <protection/>
    </xf>
    <xf numFmtId="0" fontId="4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88" fillId="45" borderId="15" applyNumberFormat="0" applyAlignment="0" applyProtection="0"/>
    <xf numFmtId="0" fontId="60" fillId="46" borderId="16" applyNumberFormat="0" applyAlignment="0" applyProtection="0"/>
    <xf numFmtId="40" fontId="33" fillId="55" borderId="0">
      <alignment horizontal="right"/>
      <protection/>
    </xf>
    <xf numFmtId="0" fontId="34" fillId="55" borderId="0">
      <alignment horizontal="right"/>
      <protection/>
    </xf>
    <xf numFmtId="0" fontId="35" fillId="55" borderId="17">
      <alignment/>
      <protection/>
    </xf>
    <xf numFmtId="0" fontId="35" fillId="0" borderId="0" applyBorder="0">
      <alignment horizontal="centerContinuous"/>
      <protection/>
    </xf>
    <xf numFmtId="0" fontId="3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0" fillId="0" borderId="18" applyNumberFormat="0" applyFill="0" applyAlignment="0" applyProtection="0"/>
    <xf numFmtId="0" fontId="61" fillId="0" borderId="19" applyNumberFormat="0" applyFill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164" fontId="0" fillId="0" borderId="0" xfId="69" applyNumberFormat="1" applyFont="1" applyFill="1" applyAlignment="1">
      <alignment/>
    </xf>
    <xf numFmtId="0" fontId="0" fillId="0" borderId="20" xfId="0" applyFill="1" applyBorder="1" applyAlignment="1">
      <alignment/>
    </xf>
    <xf numFmtId="10" fontId="0" fillId="0" borderId="0" xfId="127" applyNumberFormat="1" applyFont="1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wrapText="1"/>
    </xf>
    <xf numFmtId="5" fontId="0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164" fontId="0" fillId="0" borderId="0" xfId="69" applyNumberFormat="1" applyFont="1" applyFill="1" applyAlignment="1">
      <alignment/>
    </xf>
    <xf numFmtId="164" fontId="1" fillId="0" borderId="0" xfId="69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1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170" fontId="0" fillId="0" borderId="0" xfId="127" applyNumberFormat="1" applyFont="1" applyFill="1" applyBorder="1" applyAlignment="1">
      <alignment/>
    </xf>
    <xf numFmtId="170" fontId="0" fillId="0" borderId="21" xfId="127" applyNumberFormat="1" applyFont="1" applyFill="1" applyBorder="1" applyAlignment="1">
      <alignment/>
    </xf>
    <xf numFmtId="164" fontId="6" fillId="0" borderId="21" xfId="69" applyNumberFormat="1" applyFont="1" applyFill="1" applyBorder="1" applyAlignment="1">
      <alignment/>
    </xf>
    <xf numFmtId="164" fontId="6" fillId="0" borderId="17" xfId="69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 applyAlignment="1">
      <alignment/>
    </xf>
    <xf numFmtId="165" fontId="29" fillId="0" borderId="17" xfId="69" applyNumberFormat="1" applyFont="1" applyFill="1" applyBorder="1" applyAlignment="1">
      <alignment horizontal="right" vertical="center"/>
    </xf>
    <xf numFmtId="164" fontId="8" fillId="0" borderId="17" xfId="69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20" xfId="0" applyNumberFormat="1" applyFont="1" applyFill="1" applyBorder="1" applyAlignment="1">
      <alignment horizontal="right" vertical="center"/>
    </xf>
    <xf numFmtId="169" fontId="9" fillId="0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165" fontId="7" fillId="0" borderId="17" xfId="6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center"/>
    </xf>
    <xf numFmtId="169" fontId="9" fillId="0" borderId="20" xfId="0" applyNumberFormat="1" applyFont="1" applyFill="1" applyBorder="1" applyAlignment="1">
      <alignment horizontal="right" vertical="center"/>
    </xf>
    <xf numFmtId="164" fontId="12" fillId="0" borderId="17" xfId="69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 horizontal="right" vertical="center"/>
    </xf>
    <xf numFmtId="169" fontId="13" fillId="0" borderId="20" xfId="0" applyNumberFormat="1" applyFont="1" applyFill="1" applyBorder="1" applyAlignment="1">
      <alignment horizontal="right" vertical="center"/>
    </xf>
    <xf numFmtId="169" fontId="13" fillId="0" borderId="17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10" fontId="23" fillId="0" borderId="0" xfId="127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 wrapText="1"/>
      <protection locked="0"/>
    </xf>
    <xf numFmtId="5" fontId="0" fillId="0" borderId="0" xfId="0" applyNumberFormat="1" applyFont="1" applyFill="1" applyAlignment="1" applyProtection="1">
      <alignment horizontal="right"/>
      <protection locked="0"/>
    </xf>
    <xf numFmtId="5" fontId="0" fillId="0" borderId="0" xfId="0" applyNumberForma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5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69" applyNumberFormat="1" applyFont="1" applyFill="1" applyAlignment="1" applyProtection="1">
      <alignment/>
      <protection locked="0"/>
    </xf>
    <xf numFmtId="43" fontId="0" fillId="0" borderId="0" xfId="69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43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7" fontId="0" fillId="0" borderId="0" xfId="0" applyNumberFormat="1" applyFill="1" applyAlignment="1" applyProtection="1">
      <alignment/>
      <protection locked="0"/>
    </xf>
    <xf numFmtId="3" fontId="2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8" fillId="0" borderId="0" xfId="69" applyNumberFormat="1" applyFont="1" applyFill="1" applyAlignment="1">
      <alignment/>
    </xf>
    <xf numFmtId="171" fontId="37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5" fontId="1" fillId="0" borderId="0" xfId="0" applyNumberFormat="1" applyFont="1" applyFill="1" applyBorder="1" applyAlignment="1" applyProtection="1">
      <alignment horizontal="right"/>
      <protection locked="0"/>
    </xf>
    <xf numFmtId="176" fontId="13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164" fontId="8" fillId="0" borderId="21" xfId="69" applyNumberFormat="1" applyFont="1" applyFill="1" applyBorder="1" applyAlignment="1">
      <alignment/>
    </xf>
    <xf numFmtId="170" fontId="6" fillId="0" borderId="17" xfId="127" applyNumberFormat="1" applyFont="1" applyFill="1" applyBorder="1" applyAlignment="1">
      <alignment/>
    </xf>
    <xf numFmtId="170" fontId="26" fillId="0" borderId="17" xfId="127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69" applyNumberFormat="1" applyFont="1" applyFill="1" applyBorder="1" applyAlignment="1">
      <alignment/>
    </xf>
    <xf numFmtId="170" fontId="0" fillId="0" borderId="0" xfId="127" applyNumberFormat="1" applyFont="1" applyFill="1" applyBorder="1" applyAlignment="1" applyProtection="1">
      <alignment/>
      <protection locked="0"/>
    </xf>
    <xf numFmtId="164" fontId="17" fillId="0" borderId="21" xfId="69" applyNumberFormat="1" applyFont="1" applyFill="1" applyBorder="1" applyAlignment="1">
      <alignment/>
    </xf>
    <xf numFmtId="170" fontId="0" fillId="0" borderId="0" xfId="127" applyNumberFormat="1" applyFont="1" applyFill="1" applyBorder="1" applyAlignment="1" applyProtection="1">
      <alignment/>
      <protection hidden="1"/>
    </xf>
    <xf numFmtId="164" fontId="28" fillId="0" borderId="21" xfId="69" applyNumberFormat="1" applyFont="1" applyFill="1" applyBorder="1" applyAlignment="1">
      <alignment/>
    </xf>
    <xf numFmtId="164" fontId="15" fillId="0" borderId="21" xfId="69" applyNumberFormat="1" applyFont="1" applyFill="1" applyBorder="1" applyAlignment="1">
      <alignment/>
    </xf>
    <xf numFmtId="164" fontId="1" fillId="0" borderId="21" xfId="69" applyNumberFormat="1" applyFont="1" applyFill="1" applyBorder="1" applyAlignment="1">
      <alignment/>
    </xf>
    <xf numFmtId="164" fontId="15" fillId="0" borderId="17" xfId="69" applyNumberFormat="1" applyFont="1" applyFill="1" applyBorder="1" applyAlignment="1">
      <alignment/>
    </xf>
    <xf numFmtId="164" fontId="12" fillId="0" borderId="21" xfId="69" applyNumberFormat="1" applyFont="1" applyFill="1" applyBorder="1" applyAlignment="1">
      <alignment/>
    </xf>
    <xf numFmtId="164" fontId="17" fillId="0" borderId="0" xfId="69" applyNumberFormat="1" applyFont="1" applyFill="1" applyAlignment="1">
      <alignment/>
    </xf>
    <xf numFmtId="164" fontId="17" fillId="0" borderId="0" xfId="0" applyNumberFormat="1" applyFont="1" applyFill="1" applyAlignment="1" applyProtection="1">
      <alignment/>
      <protection locked="0"/>
    </xf>
    <xf numFmtId="164" fontId="0" fillId="0" borderId="0" xfId="69" applyNumberFormat="1" applyFont="1" applyFill="1" applyBorder="1" applyAlignment="1" applyProtection="1">
      <alignment/>
      <protection locked="0"/>
    </xf>
    <xf numFmtId="3" fontId="2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0" fillId="0" borderId="0" xfId="0" applyNumberFormat="1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42" fillId="0" borderId="17" xfId="69" applyNumberFormat="1" applyFont="1" applyFill="1" applyBorder="1" applyAlignment="1">
      <alignment horizontal="right" vertical="center"/>
    </xf>
    <xf numFmtId="164" fontId="17" fillId="0" borderId="0" xfId="0" applyNumberFormat="1" applyFont="1" applyFill="1" applyAlignment="1">
      <alignment/>
    </xf>
    <xf numFmtId="164" fontId="1" fillId="0" borderId="0" xfId="69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6" fontId="0" fillId="0" borderId="0" xfId="69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1" fillId="0" borderId="0" xfId="69" applyNumberFormat="1" applyFon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/>
    </xf>
    <xf numFmtId="165" fontId="1" fillId="0" borderId="0" xfId="69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0" fontId="1" fillId="0" borderId="0" xfId="127" applyNumberFormat="1" applyFont="1" applyFill="1" applyAlignment="1">
      <alignment/>
    </xf>
    <xf numFmtId="6" fontId="0" fillId="0" borderId="0" xfId="0" applyNumberFormat="1" applyFill="1" applyAlignment="1" applyProtection="1">
      <alignment/>
      <protection locked="0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0" fontId="44" fillId="0" borderId="0" xfId="127" applyNumberFormat="1" applyFont="1" applyFill="1" applyBorder="1" applyAlignment="1">
      <alignment horizontal="right" vertical="center"/>
    </xf>
    <xf numFmtId="10" fontId="44" fillId="0" borderId="17" xfId="127" applyNumberFormat="1" applyFont="1" applyFill="1" applyBorder="1" applyAlignment="1">
      <alignment horizontal="right" vertical="center"/>
    </xf>
    <xf numFmtId="6" fontId="44" fillId="0" borderId="17" xfId="127" applyNumberFormat="1" applyFont="1" applyFill="1" applyBorder="1" applyAlignment="1">
      <alignment horizontal="right" vertical="center"/>
    </xf>
    <xf numFmtId="6" fontId="44" fillId="0" borderId="0" xfId="127" applyNumberFormat="1" applyFont="1" applyFill="1" applyBorder="1" applyAlignment="1">
      <alignment horizontal="right" vertical="center"/>
    </xf>
    <xf numFmtId="10" fontId="46" fillId="0" borderId="0" xfId="127" applyNumberFormat="1" applyFont="1" applyFill="1" applyBorder="1" applyAlignment="1">
      <alignment horizontal="right" vertical="center"/>
    </xf>
    <xf numFmtId="6" fontId="44" fillId="0" borderId="20" xfId="127" applyNumberFormat="1" applyFont="1" applyFill="1" applyBorder="1" applyAlignment="1">
      <alignment horizontal="right" vertical="center"/>
    </xf>
    <xf numFmtId="10" fontId="44" fillId="0" borderId="20" xfId="127" applyNumberFormat="1" applyFont="1" applyFill="1" applyBorder="1" applyAlignment="1">
      <alignment horizontal="right" vertical="center"/>
    </xf>
    <xf numFmtId="6" fontId="1" fillId="0" borderId="20" xfId="69" applyNumberFormat="1" applyFont="1" applyFill="1" applyBorder="1" applyAlignment="1">
      <alignment/>
    </xf>
    <xf numFmtId="6" fontId="1" fillId="0" borderId="17" xfId="69" applyNumberFormat="1" applyFont="1" applyFill="1" applyBorder="1" applyAlignment="1">
      <alignment/>
    </xf>
    <xf numFmtId="6" fontId="1" fillId="0" borderId="0" xfId="69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1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0" fontId="24" fillId="0" borderId="0" xfId="127" applyNumberFormat="1" applyFont="1" applyFill="1" applyAlignment="1">
      <alignment horizontal="right"/>
    </xf>
    <xf numFmtId="170" fontId="0" fillId="0" borderId="0" xfId="127" applyNumberFormat="1" applyFont="1" applyFill="1" applyAlignment="1">
      <alignment/>
    </xf>
    <xf numFmtId="170" fontId="25" fillId="0" borderId="0" xfId="127" applyNumberFormat="1" applyFont="1" applyFill="1" applyAlignment="1">
      <alignment horizontal="right"/>
    </xf>
    <xf numFmtId="170" fontId="23" fillId="0" borderId="0" xfId="127" applyNumberFormat="1" applyFont="1" applyFill="1" applyAlignment="1">
      <alignment/>
    </xf>
    <xf numFmtId="170" fontId="1" fillId="0" borderId="0" xfId="127" applyNumberFormat="1" applyFont="1" applyFill="1" applyAlignment="1">
      <alignment/>
    </xf>
    <xf numFmtId="170" fontId="0" fillId="0" borderId="0" xfId="127" applyNumberFormat="1" applyFont="1" applyFill="1" applyAlignment="1">
      <alignment/>
    </xf>
    <xf numFmtId="170" fontId="0" fillId="0" borderId="0" xfId="127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3" fontId="44" fillId="0" borderId="0" xfId="0" applyNumberFormat="1" applyFont="1" applyFill="1" applyAlignment="1">
      <alignment horizontal="right"/>
    </xf>
    <xf numFmtId="7" fontId="0" fillId="0" borderId="0" xfId="0" applyNumberFormat="1" applyFont="1" applyFill="1" applyAlignment="1" applyProtection="1">
      <alignment horizontal="right"/>
      <protection locked="0"/>
    </xf>
    <xf numFmtId="166" fontId="1" fillId="0" borderId="0" xfId="69" applyNumberFormat="1" applyFont="1" applyFill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64" fontId="1" fillId="0" borderId="20" xfId="69" applyNumberFormat="1" applyFont="1" applyFill="1" applyBorder="1" applyAlignment="1">
      <alignment/>
    </xf>
    <xf numFmtId="6" fontId="0" fillId="0" borderId="17" xfId="0" applyNumberFormat="1" applyFill="1" applyBorder="1" applyAlignment="1">
      <alignment/>
    </xf>
    <xf numFmtId="164" fontId="0" fillId="0" borderId="20" xfId="69" applyNumberFormat="1" applyFill="1" applyBorder="1" applyAlignment="1">
      <alignment/>
    </xf>
    <xf numFmtId="5" fontId="0" fillId="0" borderId="0" xfId="11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38" fontId="73" fillId="0" borderId="0" xfId="115" applyNumberFormat="1" applyFont="1" applyFill="1" applyBorder="1">
      <alignment/>
      <protection/>
    </xf>
    <xf numFmtId="165" fontId="67" fillId="0" borderId="0" xfId="77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/>
    </xf>
    <xf numFmtId="167" fontId="0" fillId="0" borderId="17" xfId="0" applyNumberForma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6" fontId="1" fillId="0" borderId="20" xfId="69" applyNumberFormat="1" applyFont="1" applyFill="1" applyBorder="1" applyAlignment="1">
      <alignment horizontal="right"/>
    </xf>
    <xf numFmtId="6" fontId="44" fillId="0" borderId="0" xfId="69" applyNumberFormat="1" applyFont="1" applyFill="1" applyBorder="1" applyAlignment="1">
      <alignment vertical="center"/>
    </xf>
    <xf numFmtId="6" fontId="44" fillId="0" borderId="20" xfId="69" applyNumberFormat="1" applyFont="1" applyFill="1" applyBorder="1" applyAlignment="1">
      <alignment vertical="center"/>
    </xf>
    <xf numFmtId="6" fontId="0" fillId="0" borderId="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0" fontId="7" fillId="0" borderId="30" xfId="127" applyNumberFormat="1" applyFont="1" applyFill="1" applyBorder="1" applyAlignment="1">
      <alignment horizontal="right" vertical="center"/>
    </xf>
    <xf numFmtId="6" fontId="37" fillId="0" borderId="20" xfId="69" applyNumberFormat="1" applyFont="1" applyFill="1" applyBorder="1" applyAlignment="1">
      <alignment horizontal="right"/>
    </xf>
    <xf numFmtId="6" fontId="45" fillId="0" borderId="0" xfId="69" applyNumberFormat="1" applyFont="1" applyFill="1" applyBorder="1" applyAlignment="1">
      <alignment vertical="center"/>
    </xf>
    <xf numFmtId="10" fontId="10" fillId="0" borderId="30" xfId="127" applyNumberFormat="1" applyFont="1" applyFill="1" applyBorder="1" applyAlignment="1">
      <alignment horizontal="right" vertical="center"/>
    </xf>
    <xf numFmtId="164" fontId="0" fillId="0" borderId="20" xfId="69" applyNumberFormat="1" applyFont="1" applyFill="1" applyBorder="1" applyAlignment="1">
      <alignment/>
    </xf>
    <xf numFmtId="10" fontId="0" fillId="0" borderId="30" xfId="127" applyNumberFormat="1" applyFont="1" applyFill="1" applyBorder="1" applyAlignment="1">
      <alignment/>
    </xf>
    <xf numFmtId="6" fontId="1" fillId="0" borderId="20" xfId="0" applyNumberFormat="1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wrapText="1"/>
    </xf>
    <xf numFmtId="6" fontId="14" fillId="0" borderId="20" xfId="0" applyNumberFormat="1" applyFont="1" applyFill="1" applyBorder="1" applyAlignment="1">
      <alignment horizontal="right" vertical="center"/>
    </xf>
    <xf numFmtId="6" fontId="14" fillId="0" borderId="0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69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6" fontId="0" fillId="0" borderId="0" xfId="0" applyNumberFormat="1" applyFill="1" applyAlignment="1">
      <alignment/>
    </xf>
    <xf numFmtId="6" fontId="47" fillId="0" borderId="0" xfId="0" applyNumberFormat="1" applyFont="1" applyFill="1" applyAlignment="1">
      <alignment/>
    </xf>
    <xf numFmtId="172" fontId="48" fillId="0" borderId="0" xfId="116" applyNumberFormat="1" applyFont="1" applyFill="1">
      <alignment/>
      <protection/>
    </xf>
    <xf numFmtId="8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6" fontId="1" fillId="0" borderId="0" xfId="0" applyNumberFormat="1" applyFont="1" applyFill="1" applyAlignment="1">
      <alignment/>
    </xf>
    <xf numFmtId="6" fontId="1" fillId="0" borderId="0" xfId="127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 horizontal="center" vertical="top"/>
    </xf>
    <xf numFmtId="43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5" fontId="6" fillId="0" borderId="17" xfId="69" applyNumberFormat="1" applyFont="1" applyFill="1" applyBorder="1" applyAlignment="1">
      <alignment/>
    </xf>
    <xf numFmtId="165" fontId="9" fillId="0" borderId="17" xfId="69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0" fontId="7" fillId="0" borderId="0" xfId="127" applyNumberFormat="1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169" fontId="10" fillId="0" borderId="17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0" fontId="9" fillId="0" borderId="0" xfId="127" applyNumberFormat="1" applyFont="1" applyFill="1" applyBorder="1" applyAlignment="1">
      <alignment horizontal="right" vertical="center"/>
    </xf>
    <xf numFmtId="165" fontId="30" fillId="0" borderId="17" xfId="69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169" fontId="0" fillId="0" borderId="17" xfId="0" applyNumberFormat="1" applyFill="1" applyBorder="1" applyAlignment="1">
      <alignment/>
    </xf>
    <xf numFmtId="170" fontId="1" fillId="0" borderId="20" xfId="127" applyNumberFormat="1" applyFont="1" applyFill="1" applyBorder="1" applyAlignment="1">
      <alignment/>
    </xf>
    <xf numFmtId="170" fontId="1" fillId="0" borderId="25" xfId="127" applyNumberFormat="1" applyFont="1" applyFill="1" applyBorder="1" applyAlignment="1">
      <alignment/>
    </xf>
    <xf numFmtId="170" fontId="1" fillId="0" borderId="23" xfId="127" applyNumberFormat="1" applyFont="1" applyFill="1" applyBorder="1" applyAlignment="1">
      <alignment/>
    </xf>
    <xf numFmtId="170" fontId="1" fillId="0" borderId="24" xfId="127" applyNumberFormat="1" applyFont="1" applyFill="1" applyBorder="1" applyAlignment="1">
      <alignment/>
    </xf>
    <xf numFmtId="170" fontId="1" fillId="0" borderId="0" xfId="127" applyNumberFormat="1" applyFont="1" applyFill="1" applyBorder="1" applyAlignment="1">
      <alignment/>
    </xf>
    <xf numFmtId="164" fontId="1" fillId="0" borderId="0" xfId="69" applyNumberFormat="1" applyFont="1" applyFill="1" applyBorder="1" applyAlignment="1">
      <alignment/>
    </xf>
    <xf numFmtId="169" fontId="0" fillId="0" borderId="2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9" fontId="23" fillId="0" borderId="20" xfId="0" applyNumberFormat="1" applyFont="1" applyFill="1" applyBorder="1" applyAlignment="1">
      <alignment/>
    </xf>
    <xf numFmtId="165" fontId="31" fillId="0" borderId="17" xfId="69" applyNumberFormat="1" applyFont="1" applyFill="1" applyBorder="1" applyAlignment="1">
      <alignment horizontal="right" vertical="center"/>
    </xf>
    <xf numFmtId="6" fontId="7" fillId="0" borderId="20" xfId="0" applyNumberFormat="1" applyFont="1" applyFill="1" applyBorder="1" applyAlignment="1">
      <alignment horizontal="right" vertical="center"/>
    </xf>
    <xf numFmtId="6" fontId="0" fillId="0" borderId="20" xfId="0" applyNumberFormat="1" applyFill="1" applyBorder="1" applyAlignment="1">
      <alignment/>
    </xf>
    <xf numFmtId="6" fontId="7" fillId="0" borderId="17" xfId="0" applyNumberFormat="1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6" fontId="15" fillId="0" borderId="21" xfId="69" applyNumberFormat="1" applyFont="1" applyFill="1" applyBorder="1" applyAlignment="1">
      <alignment/>
    </xf>
    <xf numFmtId="6" fontId="15" fillId="0" borderId="20" xfId="69" applyNumberFormat="1" applyFont="1" applyFill="1" applyBorder="1" applyAlignment="1">
      <alignment/>
    </xf>
    <xf numFmtId="6" fontId="15" fillId="0" borderId="0" xfId="69" applyNumberFormat="1" applyFont="1" applyFill="1" applyBorder="1" applyAlignment="1">
      <alignment/>
    </xf>
    <xf numFmtId="6" fontId="16" fillId="0" borderId="20" xfId="0" applyNumberFormat="1" applyFont="1" applyFill="1" applyBorder="1" applyAlignment="1">
      <alignment/>
    </xf>
    <xf numFmtId="5" fontId="16" fillId="0" borderId="0" xfId="0" applyNumberFormat="1" applyFont="1" applyFill="1" applyBorder="1" applyAlignment="1">
      <alignment/>
    </xf>
    <xf numFmtId="6" fontId="16" fillId="0" borderId="0" xfId="0" applyNumberFormat="1" applyFont="1" applyFill="1" applyBorder="1" applyAlignment="1">
      <alignment/>
    </xf>
    <xf numFmtId="6" fontId="16" fillId="0" borderId="17" xfId="0" applyNumberFormat="1" applyFont="1" applyFill="1" applyBorder="1" applyAlignment="1">
      <alignment/>
    </xf>
    <xf numFmtId="165" fontId="32" fillId="0" borderId="17" xfId="69" applyNumberFormat="1" applyFont="1" applyFill="1" applyBorder="1" applyAlignment="1">
      <alignment/>
    </xf>
    <xf numFmtId="169" fontId="14" fillId="0" borderId="20" xfId="0" applyNumberFormat="1" applyFont="1" applyFill="1" applyBorder="1" applyAlignment="1">
      <alignment horizontal="right" vertical="center"/>
    </xf>
    <xf numFmtId="169" fontId="14" fillId="0" borderId="1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165" fontId="11" fillId="0" borderId="17" xfId="69" applyNumberFormat="1" applyFont="1" applyFill="1" applyBorder="1" applyAlignment="1">
      <alignment horizontal="right" vertical="center"/>
    </xf>
    <xf numFmtId="169" fontId="13" fillId="0" borderId="25" xfId="0" applyNumberFormat="1" applyFont="1" applyFill="1" applyBorder="1" applyAlignment="1">
      <alignment horizontal="right" vertical="center"/>
    </xf>
    <xf numFmtId="169" fontId="13" fillId="0" borderId="23" xfId="0" applyNumberFormat="1" applyFont="1" applyFill="1" applyBorder="1" applyAlignment="1">
      <alignment horizontal="right" vertical="center"/>
    </xf>
    <xf numFmtId="169" fontId="13" fillId="0" borderId="24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169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wrapText="1"/>
    </xf>
    <xf numFmtId="167" fontId="0" fillId="0" borderId="0" xfId="69" applyNumberFormat="1" applyFont="1" applyFill="1" applyAlignment="1">
      <alignment horizontal="left" wrapText="1"/>
    </xf>
    <xf numFmtId="167" fontId="0" fillId="0" borderId="0" xfId="69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110" applyFill="1" applyAlignment="1">
      <alignment/>
      <protection/>
    </xf>
    <xf numFmtId="164" fontId="0" fillId="0" borderId="0" xfId="69" applyNumberFormat="1" applyFill="1" applyAlignment="1">
      <alignment/>
    </xf>
    <xf numFmtId="3" fontId="0" fillId="0" borderId="0" xfId="110" applyNumberFormat="1" applyFill="1" applyAlignment="1">
      <alignment/>
      <protection/>
    </xf>
    <xf numFmtId="164" fontId="0" fillId="0" borderId="0" xfId="69" applyNumberFormat="1" applyFont="1" applyFill="1" applyAlignment="1">
      <alignment/>
    </xf>
    <xf numFmtId="164" fontId="0" fillId="0" borderId="0" xfId="69" applyNumberFormat="1" applyFont="1" applyFill="1" applyAlignment="1" applyProtection="1">
      <alignment/>
      <protection locked="0"/>
    </xf>
    <xf numFmtId="38" fontId="74" fillId="0" borderId="0" xfId="115" applyNumberFormat="1" applyFill="1">
      <alignment/>
      <protection/>
    </xf>
    <xf numFmtId="43" fontId="6" fillId="0" borderId="0" xfId="69" applyNumberFormat="1" applyFont="1" applyFill="1" applyBorder="1" applyAlignment="1" applyProtection="1">
      <alignment horizontal="right" vertical="center"/>
      <protection locked="0"/>
    </xf>
    <xf numFmtId="164" fontId="0" fillId="0" borderId="0" xfId="69" applyNumberFormat="1" applyFont="1" applyFill="1" applyAlignment="1">
      <alignment/>
    </xf>
    <xf numFmtId="37" fontId="33" fillId="0" borderId="0" xfId="122" applyNumberFormat="1" applyFill="1" applyBorder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1" fillId="0" borderId="0" xfId="69" applyNumberFormat="1" applyFont="1" applyFill="1" applyAlignment="1">
      <alignment/>
    </xf>
    <xf numFmtId="0" fontId="37" fillId="0" borderId="0" xfId="0" applyFont="1" applyFill="1" applyBorder="1" applyAlignment="1">
      <alignment/>
    </xf>
    <xf numFmtId="177" fontId="0" fillId="0" borderId="0" xfId="80" applyNumberFormat="1" applyFont="1" applyFill="1" applyBorder="1" applyAlignment="1">
      <alignment/>
    </xf>
    <xf numFmtId="177" fontId="0" fillId="0" borderId="0" xfId="80" applyNumberFormat="1" applyFont="1" applyFill="1" applyAlignment="1">
      <alignment/>
    </xf>
    <xf numFmtId="43" fontId="0" fillId="0" borderId="0" xfId="80" applyNumberFormat="1" applyFont="1" applyFill="1" applyAlignment="1">
      <alignment/>
    </xf>
    <xf numFmtId="170" fontId="1" fillId="0" borderId="0" xfId="127" applyNumberFormat="1" applyFont="1" applyFill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17" fontId="1" fillId="0" borderId="0" xfId="0" applyNumberFormat="1" applyFont="1" applyFill="1" applyAlignment="1" applyProtection="1">
      <alignment horizontal="center"/>
      <protection locked="0"/>
    </xf>
    <xf numFmtId="165" fontId="0" fillId="0" borderId="0" xfId="7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5" fontId="44" fillId="0" borderId="20" xfId="69" applyNumberFormat="1" applyFont="1" applyFill="1" applyBorder="1" applyAlignment="1">
      <alignment vertical="center"/>
    </xf>
    <xf numFmtId="5" fontId="1" fillId="0" borderId="20" xfId="69" applyNumberFormat="1" applyFont="1" applyFill="1" applyBorder="1" applyAlignment="1">
      <alignment/>
    </xf>
    <xf numFmtId="5" fontId="0" fillId="0" borderId="0" xfId="69" applyNumberFormat="1" applyFont="1" applyFill="1" applyAlignment="1" applyProtection="1">
      <alignment/>
      <protection locked="0"/>
    </xf>
    <xf numFmtId="5" fontId="0" fillId="0" borderId="0" xfId="0" applyNumberFormat="1" applyFill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99" fontId="68" fillId="0" borderId="0" xfId="72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44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18" fillId="0" borderId="39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0" fontId="21" fillId="0" borderId="38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 wrapText="1"/>
    </xf>
    <xf numFmtId="0" fontId="21" fillId="0" borderId="4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2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4 2" xfId="78"/>
    <cellStyle name="Comma 5" xfId="79"/>
    <cellStyle name="Currency" xfId="80"/>
    <cellStyle name="Currency [0]" xfId="81"/>
    <cellStyle name="Currency 2" xfId="82"/>
    <cellStyle name="Currency 2 2" xfId="83"/>
    <cellStyle name="Currency 2 3" xfId="84"/>
    <cellStyle name="Currency 3" xfId="85"/>
    <cellStyle name="Currency 3 2" xfId="86"/>
    <cellStyle name="Currency 3 3" xfId="87"/>
    <cellStyle name="Currency 4" xfId="88"/>
    <cellStyle name="Currency 5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2 2" xfId="111"/>
    <cellStyle name="Normal 3" xfId="112"/>
    <cellStyle name="Normal 3 2" xfId="113"/>
    <cellStyle name="Normal 4" xfId="114"/>
    <cellStyle name="Normal 5" xfId="115"/>
    <cellStyle name="Normal_AA Calculation" xfId="116"/>
    <cellStyle name="Note" xfId="117"/>
    <cellStyle name="Note 2" xfId="118"/>
    <cellStyle name="Note 2 2" xfId="119"/>
    <cellStyle name="Output" xfId="120"/>
    <cellStyle name="Output 2" xfId="121"/>
    <cellStyle name="Output Amounts" xfId="122"/>
    <cellStyle name="Output Column Headings" xfId="123"/>
    <cellStyle name="Output Line Items" xfId="124"/>
    <cellStyle name="Output Report Heading" xfId="125"/>
    <cellStyle name="Output Report Title" xfId="126"/>
    <cellStyle name="Percent" xfId="127"/>
    <cellStyle name="Percent 2" xfId="128"/>
    <cellStyle name="Percent 2 2" xfId="129"/>
    <cellStyle name="Percent 3" xfId="130"/>
    <cellStyle name="Percent 3 2" xfId="131"/>
    <cellStyle name="Percent 3 3" xfId="132"/>
    <cellStyle name="Percent 4" xfId="133"/>
    <cellStyle name="Percent 4 2" xfId="134"/>
    <cellStyle name="Percent 5" xfId="135"/>
    <cellStyle name="Title" xfId="136"/>
    <cellStyle name="Title 2" xfId="137"/>
    <cellStyle name="Total" xfId="138"/>
    <cellStyle name="Total 2" xfId="139"/>
    <cellStyle name="Warning Text" xfId="140"/>
    <cellStyle name="Warning Text 2" xfId="14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view="pageBreakPreview" zoomScale="60" zoomScalePageLayoutView="0" workbookViewId="0" topLeftCell="A1">
      <pane xSplit="3" ySplit="11" topLeftCell="D12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M32" sqref="M32"/>
    </sheetView>
  </sheetViews>
  <sheetFormatPr defaultColWidth="9.140625" defaultRowHeight="12.75"/>
  <cols>
    <col min="1" max="1" width="6.00390625" style="3" bestFit="1" customWidth="1"/>
    <col min="2" max="2" width="37.57421875" style="3" customWidth="1"/>
    <col min="3" max="3" width="1.8515625" style="3" customWidth="1"/>
    <col min="4" max="4" width="21.8515625" style="3" bestFit="1" customWidth="1"/>
    <col min="5" max="5" width="19.00390625" style="3" bestFit="1" customWidth="1"/>
    <col min="6" max="6" width="17.28125" style="3" bestFit="1" customWidth="1"/>
    <col min="7" max="7" width="11.57421875" style="3" bestFit="1" customWidth="1"/>
    <col min="8" max="8" width="21.57421875" style="3" bestFit="1" customWidth="1"/>
    <col min="9" max="9" width="1.8515625" style="3" customWidth="1"/>
    <col min="10" max="10" width="19.421875" style="3" bestFit="1" customWidth="1"/>
    <col min="11" max="11" width="20.421875" style="3" bestFit="1" customWidth="1"/>
    <col min="12" max="12" width="2.00390625" style="3" customWidth="1"/>
    <col min="13" max="13" width="20.57421875" style="3" bestFit="1" customWidth="1"/>
    <col min="14" max="14" width="20.421875" style="3" bestFit="1" customWidth="1"/>
    <col min="15" max="15" width="1.421875" style="3" customWidth="1"/>
    <col min="16" max="16" width="9.8515625" style="3" customWidth="1"/>
    <col min="17" max="17" width="19.00390625" style="3" bestFit="1" customWidth="1"/>
    <col min="18" max="18" width="15.8515625" style="3" customWidth="1"/>
    <col min="19" max="19" width="1.28515625" style="3" customWidth="1"/>
    <col min="20" max="20" width="16.57421875" style="3" customWidth="1"/>
    <col min="21" max="21" width="11.8515625" style="3" customWidth="1"/>
    <col min="22" max="22" width="1.421875" style="3" customWidth="1"/>
    <col min="23" max="16384" width="9.140625" style="3" customWidth="1"/>
  </cols>
  <sheetData>
    <row r="1" ht="12.75">
      <c r="A1" s="176"/>
    </row>
    <row r="2" spans="1:21" ht="50.25" customHeight="1">
      <c r="A2" s="175" t="s">
        <v>21</v>
      </c>
      <c r="B2" s="333" t="s">
        <v>264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1:21" ht="18" customHeight="1">
      <c r="A3" s="176">
        <f>ROW()</f>
        <v>3</v>
      </c>
      <c r="B3" s="334" t="s">
        <v>304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4" ht="12.75">
      <c r="A4" s="176">
        <f>ROW()</f>
        <v>4</v>
      </c>
    </row>
    <row r="5" spans="1:21" ht="15.75">
      <c r="A5" s="176">
        <f>ROW()</f>
        <v>5</v>
      </c>
      <c r="B5" s="173" t="s">
        <v>0</v>
      </c>
      <c r="D5" s="170" t="s">
        <v>2</v>
      </c>
      <c r="E5" s="170" t="s">
        <v>3</v>
      </c>
      <c r="F5" s="170" t="s">
        <v>4</v>
      </c>
      <c r="G5" s="170" t="s">
        <v>5</v>
      </c>
      <c r="H5" s="170" t="s">
        <v>19</v>
      </c>
      <c r="I5" s="170"/>
      <c r="J5" s="170" t="s">
        <v>18</v>
      </c>
      <c r="K5" s="170" t="s">
        <v>20</v>
      </c>
      <c r="L5" s="170"/>
      <c r="M5" s="170" t="s">
        <v>22</v>
      </c>
      <c r="N5" s="170" t="s">
        <v>24</v>
      </c>
      <c r="O5" s="170"/>
      <c r="P5" s="170" t="s">
        <v>25</v>
      </c>
      <c r="Q5" s="170" t="s">
        <v>64</v>
      </c>
      <c r="R5" s="170" t="s">
        <v>32</v>
      </c>
      <c r="S5" s="170"/>
      <c r="T5" s="170" t="s">
        <v>37</v>
      </c>
      <c r="U5" s="170" t="s">
        <v>113</v>
      </c>
    </row>
    <row r="6" ht="12.75">
      <c r="A6" s="176">
        <f>ROW()</f>
        <v>6</v>
      </c>
    </row>
    <row r="7" spans="1:21" ht="12.75">
      <c r="A7" s="176">
        <f>ROW()</f>
        <v>7</v>
      </c>
      <c r="B7" s="173" t="s">
        <v>6</v>
      </c>
      <c r="D7" s="173"/>
      <c r="E7" s="173"/>
      <c r="F7" s="173" t="s">
        <v>265</v>
      </c>
      <c r="G7" s="173" t="s">
        <v>312</v>
      </c>
      <c r="H7" s="173" t="s">
        <v>313</v>
      </c>
      <c r="I7" s="173"/>
      <c r="J7" s="173" t="s">
        <v>314</v>
      </c>
      <c r="K7" s="173" t="s">
        <v>315</v>
      </c>
      <c r="L7" s="173"/>
      <c r="M7" s="173" t="s">
        <v>316</v>
      </c>
      <c r="N7" s="173" t="s">
        <v>317</v>
      </c>
      <c r="O7" s="173"/>
      <c r="P7" s="173"/>
      <c r="Q7" s="173" t="s">
        <v>318</v>
      </c>
      <c r="R7" s="173" t="s">
        <v>319</v>
      </c>
      <c r="S7" s="173"/>
      <c r="T7" s="173"/>
      <c r="U7" s="173" t="s">
        <v>320</v>
      </c>
    </row>
    <row r="8" spans="1:2" ht="13.5" thickBot="1">
      <c r="A8" s="176">
        <f>ROW()</f>
        <v>8</v>
      </c>
      <c r="B8" s="173"/>
    </row>
    <row r="9" spans="1:22" ht="13.5" thickTop="1">
      <c r="A9" s="176">
        <f>ROW()</f>
        <v>9</v>
      </c>
      <c r="B9" s="17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74"/>
    </row>
    <row r="10" spans="1:22" ht="59.25" customHeight="1">
      <c r="A10" s="176">
        <f>ROW()</f>
        <v>10</v>
      </c>
      <c r="B10" s="178"/>
      <c r="C10" s="1"/>
      <c r="D10" s="327" t="s">
        <v>266</v>
      </c>
      <c r="E10" s="328"/>
      <c r="F10" s="328"/>
      <c r="G10" s="328"/>
      <c r="H10" s="329"/>
      <c r="I10" s="171"/>
      <c r="J10" s="330" t="s">
        <v>267</v>
      </c>
      <c r="K10" s="331"/>
      <c r="L10" s="177"/>
      <c r="M10" s="327" t="s">
        <v>268</v>
      </c>
      <c r="N10" s="329"/>
      <c r="O10" s="177"/>
      <c r="P10" s="330" t="s">
        <v>307</v>
      </c>
      <c r="Q10" s="332"/>
      <c r="R10" s="331"/>
      <c r="S10" s="181"/>
      <c r="T10" s="327" t="s">
        <v>308</v>
      </c>
      <c r="U10" s="329"/>
      <c r="V10" s="182"/>
    </row>
    <row r="11" spans="1:22" ht="51">
      <c r="A11" s="176">
        <f>ROW()</f>
        <v>11</v>
      </c>
      <c r="B11" s="178"/>
      <c r="C11" s="1"/>
      <c r="D11" s="132" t="s">
        <v>269</v>
      </c>
      <c r="E11" s="183" t="s">
        <v>311</v>
      </c>
      <c r="F11" s="183" t="s">
        <v>296</v>
      </c>
      <c r="G11" s="130" t="s">
        <v>239</v>
      </c>
      <c r="H11" s="131" t="s">
        <v>270</v>
      </c>
      <c r="I11" s="130"/>
      <c r="J11" s="132" t="s">
        <v>271</v>
      </c>
      <c r="K11" s="131" t="s">
        <v>272</v>
      </c>
      <c r="L11" s="130"/>
      <c r="M11" s="132" t="s">
        <v>273</v>
      </c>
      <c r="N11" s="131" t="s">
        <v>274</v>
      </c>
      <c r="O11" s="183"/>
      <c r="P11" s="132" t="s">
        <v>321</v>
      </c>
      <c r="Q11" s="183" t="s">
        <v>305</v>
      </c>
      <c r="R11" s="131" t="s">
        <v>306</v>
      </c>
      <c r="S11" s="183"/>
      <c r="T11" s="132" t="s">
        <v>275</v>
      </c>
      <c r="U11" s="131" t="s">
        <v>276</v>
      </c>
      <c r="V11" s="182"/>
    </row>
    <row r="12" spans="1:22" ht="18">
      <c r="A12" s="176">
        <f>ROW()</f>
        <v>12</v>
      </c>
      <c r="B12" s="184" t="s">
        <v>7</v>
      </c>
      <c r="C12" s="1"/>
      <c r="D12" s="6"/>
      <c r="E12" s="1"/>
      <c r="F12" s="1"/>
      <c r="G12" s="1"/>
      <c r="H12" s="4"/>
      <c r="I12" s="1"/>
      <c r="J12" s="6"/>
      <c r="K12" s="4"/>
      <c r="L12" s="1"/>
      <c r="M12" s="6"/>
      <c r="N12" s="4"/>
      <c r="O12" s="1"/>
      <c r="P12" s="163"/>
      <c r="Q12" s="1"/>
      <c r="R12" s="185"/>
      <c r="T12" s="6"/>
      <c r="U12" s="4"/>
      <c r="V12" s="182"/>
    </row>
    <row r="13" spans="1:22" ht="12" customHeight="1">
      <c r="A13" s="176"/>
      <c r="B13" s="186"/>
      <c r="C13" s="1"/>
      <c r="D13" s="134"/>
      <c r="E13" s="2"/>
      <c r="F13" s="2"/>
      <c r="G13" s="2"/>
      <c r="H13" s="133"/>
      <c r="I13" s="2"/>
      <c r="J13" s="134"/>
      <c r="K13" s="4"/>
      <c r="L13" s="2"/>
      <c r="M13" s="134"/>
      <c r="N13" s="133"/>
      <c r="O13" s="2"/>
      <c r="P13" s="163"/>
      <c r="Q13" s="2"/>
      <c r="R13" s="166"/>
      <c r="T13" s="6"/>
      <c r="U13" s="4"/>
      <c r="V13" s="182"/>
    </row>
    <row r="14" spans="1:22" ht="12.75">
      <c r="A14" s="176">
        <f>ROW()</f>
        <v>14</v>
      </c>
      <c r="B14" s="187" t="s">
        <v>277</v>
      </c>
      <c r="C14" s="1"/>
      <c r="D14" s="134"/>
      <c r="E14" s="2"/>
      <c r="F14" s="2"/>
      <c r="G14" s="2"/>
      <c r="H14" s="133"/>
      <c r="I14" s="2"/>
      <c r="J14" s="134"/>
      <c r="K14" s="4"/>
      <c r="L14" s="2"/>
      <c r="M14" s="134"/>
      <c r="N14" s="133"/>
      <c r="O14" s="2"/>
      <c r="P14" s="163"/>
      <c r="Q14" s="138"/>
      <c r="R14" s="166"/>
      <c r="T14" s="6"/>
      <c r="U14" s="4"/>
      <c r="V14" s="182"/>
    </row>
    <row r="15" spans="1:22" ht="12.75">
      <c r="A15" s="176"/>
      <c r="B15" s="187"/>
      <c r="C15" s="1"/>
      <c r="D15" s="134"/>
      <c r="E15" s="2"/>
      <c r="F15" s="2"/>
      <c r="G15" s="2"/>
      <c r="H15" s="133"/>
      <c r="I15" s="2"/>
      <c r="J15" s="134"/>
      <c r="K15" s="4"/>
      <c r="L15" s="2"/>
      <c r="M15" s="134"/>
      <c r="N15" s="133"/>
      <c r="O15" s="2"/>
      <c r="P15" s="163"/>
      <c r="Q15" s="138"/>
      <c r="R15" s="166"/>
      <c r="T15" s="6"/>
      <c r="U15" s="4"/>
      <c r="V15" s="182"/>
    </row>
    <row r="16" spans="1:22" ht="12.75">
      <c r="A16" s="176">
        <f>ROW()</f>
        <v>16</v>
      </c>
      <c r="B16" s="188" t="s">
        <v>278</v>
      </c>
      <c r="C16" s="1"/>
      <c r="D16" s="189">
        <f>'BCF Allocation'!AA19</f>
        <v>219242276.2743387</v>
      </c>
      <c r="E16" s="190">
        <f>'Data Inputs - 2011'!O66</f>
        <v>204419927.2606312</v>
      </c>
      <c r="F16" s="190">
        <f>ROUND(D16-E16,0)</f>
        <v>14822349</v>
      </c>
      <c r="G16" s="135">
        <f>+IF(OR(E16=0,D16="NA",E16="NA"),"NA",F16/E16)</f>
        <v>0.07250931549888387</v>
      </c>
      <c r="H16" s="136">
        <f>IF(G16=0,0,+F16/F$32)</f>
        <v>0.4062207535549166</v>
      </c>
      <c r="I16" s="135"/>
      <c r="J16" s="142">
        <f>+H16*J$32</f>
        <v>684037.5642356453</v>
      </c>
      <c r="K16" s="143">
        <f>+F16+J16</f>
        <v>15506386.564235646</v>
      </c>
      <c r="L16" s="144"/>
      <c r="M16" s="316">
        <f>+H16*M$32</f>
        <v>-1482234.9406220755</v>
      </c>
      <c r="N16" s="137">
        <f>+K16+M16</f>
        <v>14024151.62361357</v>
      </c>
      <c r="O16" s="138"/>
      <c r="P16" s="141">
        <f>F16/($F$32-($F$24*(('Data Inputs - 2012'!$N$36-'AA Calculation'!$T$24)/'Data Inputs - 2012'!$N$36)))</f>
        <v>0.45033034578438397</v>
      </c>
      <c r="Q16" s="192">
        <f>P16*$Q$32</f>
        <v>1522816.3604846187</v>
      </c>
      <c r="R16" s="166">
        <f>N16+Q16</f>
        <v>15546967.984098189</v>
      </c>
      <c r="T16" s="167">
        <v>4256431755.701</v>
      </c>
      <c r="U16" s="193">
        <f>+ROUND(R16/T16*100,3)</f>
        <v>0.365</v>
      </c>
      <c r="V16" s="194"/>
    </row>
    <row r="17" spans="1:22" ht="12.75">
      <c r="A17" s="176">
        <f>ROW()</f>
        <v>17</v>
      </c>
      <c r="B17" s="188"/>
      <c r="C17" s="1"/>
      <c r="D17" s="189"/>
      <c r="E17" s="190"/>
      <c r="F17" s="190"/>
      <c r="G17" s="135"/>
      <c r="H17" s="136"/>
      <c r="I17" s="135"/>
      <c r="J17" s="142"/>
      <c r="K17" s="143"/>
      <c r="L17" s="144"/>
      <c r="M17" s="316"/>
      <c r="N17" s="137"/>
      <c r="O17" s="138"/>
      <c r="P17" s="140"/>
      <c r="Q17" s="138"/>
      <c r="R17" s="4"/>
      <c r="T17" s="6"/>
      <c r="U17" s="4"/>
      <c r="V17" s="194"/>
    </row>
    <row r="18" spans="1:22" ht="12.75">
      <c r="A18" s="176">
        <f>ROW()</f>
        <v>18</v>
      </c>
      <c r="B18" s="188" t="s">
        <v>11</v>
      </c>
      <c r="C18" s="1"/>
      <c r="D18" s="189">
        <f>'BCF Allocation'!AA21</f>
        <v>12538145.213978056</v>
      </c>
      <c r="E18" s="190">
        <f>'Data Inputs - 2011'!O67</f>
        <v>11731899.710300973</v>
      </c>
      <c r="F18" s="190">
        <f aca="true" t="shared" si="0" ref="F18:F26">ROUND(D18-E18,0)</f>
        <v>806246</v>
      </c>
      <c r="G18" s="135">
        <f aca="true" t="shared" si="1" ref="G18:G27">+IF(OR(E18=0,D18="NA",E18="NA"),"NA",F18/E18)</f>
        <v>0.06872254450761209</v>
      </c>
      <c r="H18" s="136">
        <f aca="true" t="shared" si="2" ref="H18:H26">IF(G18=0,0,+F18/F$32)</f>
        <v>0.022095948332523898</v>
      </c>
      <c r="I18" s="135"/>
      <c r="J18" s="142">
        <f aca="true" t="shared" si="3" ref="J18:J26">+H18*J$32</f>
        <v>37207.49997282699</v>
      </c>
      <c r="K18" s="143">
        <f aca="true" t="shared" si="4" ref="K18:K26">+F18+J18</f>
        <v>843453.499972827</v>
      </c>
      <c r="L18" s="144"/>
      <c r="M18" s="316">
        <f aca="true" t="shared" si="5" ref="M18:M26">+H18*M$32</f>
        <v>-80624.60220959483</v>
      </c>
      <c r="N18" s="137">
        <f aca="true" t="shared" si="6" ref="N18:N26">+K18+M18</f>
        <v>762828.8977632322</v>
      </c>
      <c r="O18" s="138"/>
      <c r="P18" s="141">
        <f>F18/($F$32-($F$24*(('Data Inputs - 2012'!$N$36-'AA Calculation'!$T$24)/'Data Inputs - 2012'!$N$36)))</f>
        <v>0.024495242958270408</v>
      </c>
      <c r="Q18" s="192">
        <f aca="true" t="shared" si="7" ref="Q18:Q26">P18*$Q$32</f>
        <v>82831.98563029934</v>
      </c>
      <c r="R18" s="166">
        <f aca="true" t="shared" si="8" ref="R18:R23">N18+Q18</f>
        <v>845660.8833935315</v>
      </c>
      <c r="T18" s="167">
        <v>223726062.413</v>
      </c>
      <c r="U18" s="193">
        <f aca="true" t="shared" si="9" ref="U18:U27">+ROUND(R18/T18*100,3)</f>
        <v>0.378</v>
      </c>
      <c r="V18" s="194"/>
    </row>
    <row r="19" spans="1:22" ht="12.75">
      <c r="A19" s="176">
        <f>ROW()</f>
        <v>19</v>
      </c>
      <c r="B19" s="188" t="s">
        <v>12</v>
      </c>
      <c r="C19" s="1"/>
      <c r="D19" s="189">
        <f>'BCF Allocation'!AA22</f>
        <v>130466145.17419064</v>
      </c>
      <c r="E19" s="190">
        <f>'Data Inputs - 2011'!O68</f>
        <v>121660524.23409534</v>
      </c>
      <c r="F19" s="190">
        <f t="shared" si="0"/>
        <v>8805621</v>
      </c>
      <c r="G19" s="135">
        <f t="shared" si="1"/>
        <v>0.0723786212120581</v>
      </c>
      <c r="H19" s="136">
        <f t="shared" si="2"/>
        <v>0.2413265264594025</v>
      </c>
      <c r="I19" s="135"/>
      <c r="J19" s="142">
        <f t="shared" si="3"/>
        <v>406371.1858641466</v>
      </c>
      <c r="K19" s="143">
        <f t="shared" si="4"/>
        <v>9211992.185864147</v>
      </c>
      <c r="L19" s="144"/>
      <c r="M19" s="316">
        <f t="shared" si="5"/>
        <v>-880562.1241326527</v>
      </c>
      <c r="N19" s="137">
        <f t="shared" si="6"/>
        <v>8331430.061731494</v>
      </c>
      <c r="O19" s="138"/>
      <c r="P19" s="141">
        <f>F19/($F$32-($F$24*(('Data Inputs - 2012'!$N$36-'AA Calculation'!$T$24)/'Data Inputs - 2012'!$N$36)))</f>
        <v>0.26753103369622677</v>
      </c>
      <c r="Q19" s="192">
        <f t="shared" si="7"/>
        <v>904670.6242733138</v>
      </c>
      <c r="R19" s="166">
        <f t="shared" si="8"/>
        <v>9236100.686004808</v>
      </c>
      <c r="T19" s="167">
        <v>2439459240.789</v>
      </c>
      <c r="U19" s="193">
        <f t="shared" si="9"/>
        <v>0.379</v>
      </c>
      <c r="V19" s="194"/>
    </row>
    <row r="20" spans="1:22" ht="12.75">
      <c r="A20" s="176">
        <f>ROW()</f>
        <v>20</v>
      </c>
      <c r="B20" s="188" t="s">
        <v>13</v>
      </c>
      <c r="C20" s="1"/>
      <c r="D20" s="189">
        <f>'BCF Allocation'!AA23</f>
        <v>20139639.22976594</v>
      </c>
      <c r="E20" s="190">
        <f>'Data Inputs - 2011'!O69</f>
        <v>18853657.333581742</v>
      </c>
      <c r="F20" s="190">
        <f t="shared" si="0"/>
        <v>1285982</v>
      </c>
      <c r="G20" s="135">
        <f t="shared" si="1"/>
        <v>0.06820862272220445</v>
      </c>
      <c r="H20" s="136">
        <f t="shared" si="2"/>
        <v>0.03524357556943631</v>
      </c>
      <c r="I20" s="135"/>
      <c r="J20" s="142">
        <f t="shared" si="3"/>
        <v>59346.86836282722</v>
      </c>
      <c r="K20" s="143">
        <f t="shared" si="4"/>
        <v>1345328.8683628272</v>
      </c>
      <c r="L20" s="144"/>
      <c r="M20" s="316">
        <f t="shared" si="5"/>
        <v>-128598.20352435755</v>
      </c>
      <c r="N20" s="137">
        <f t="shared" si="6"/>
        <v>1216730.6648384696</v>
      </c>
      <c r="O20" s="138"/>
      <c r="P20" s="141">
        <f>F20/($F$32-($F$24*(('Data Inputs - 2012'!$N$36-'AA Calculation'!$T$24)/'Data Inputs - 2012'!$N$36)))</f>
        <v>0.03907050891410623</v>
      </c>
      <c r="Q20" s="192">
        <f t="shared" si="7"/>
        <v>132119.03382444513</v>
      </c>
      <c r="R20" s="166">
        <f>N20+Q20</f>
        <v>1348849.6986629148</v>
      </c>
      <c r="T20" s="167">
        <v>397470793.685</v>
      </c>
      <c r="U20" s="193">
        <f t="shared" si="9"/>
        <v>0.339</v>
      </c>
      <c r="V20" s="194"/>
    </row>
    <row r="21" spans="1:22" ht="12.75">
      <c r="A21" s="176">
        <f>ROW()</f>
        <v>21</v>
      </c>
      <c r="B21" s="188" t="s">
        <v>14</v>
      </c>
      <c r="C21" s="1"/>
      <c r="D21" s="189">
        <f>'BCF Allocation'!AA24</f>
        <v>12736170.59327829</v>
      </c>
      <c r="E21" s="190">
        <f>'Data Inputs - 2011'!O70</f>
        <v>11940320.947770119</v>
      </c>
      <c r="F21" s="190">
        <f t="shared" si="0"/>
        <v>795850</v>
      </c>
      <c r="G21" s="135">
        <f t="shared" si="1"/>
        <v>0.06665231223526087</v>
      </c>
      <c r="H21" s="136">
        <f t="shared" si="2"/>
        <v>0.021811035937467155</v>
      </c>
      <c r="I21" s="135"/>
      <c r="J21" s="142">
        <f t="shared" si="3"/>
        <v>36727.73428131657</v>
      </c>
      <c r="K21" s="143">
        <f>+F21+J21</f>
        <v>832577.7342813165</v>
      </c>
      <c r="L21" s="144"/>
      <c r="M21" s="316">
        <f t="shared" si="5"/>
        <v>-79585.0021811036</v>
      </c>
      <c r="N21" s="137">
        <f t="shared" si="6"/>
        <v>752992.732100213</v>
      </c>
      <c r="O21" s="138"/>
      <c r="P21" s="141">
        <f>F21/($F$32-($F$24*(('Data Inputs - 2012'!$N$36-'AA Calculation'!$T$24)/'Data Inputs - 2012'!$N$36)))</f>
        <v>0.02417939327244973</v>
      </c>
      <c r="Q21" s="192">
        <f t="shared" si="7"/>
        <v>81763.92287698014</v>
      </c>
      <c r="R21" s="166">
        <f t="shared" si="8"/>
        <v>834756.6549771931</v>
      </c>
      <c r="T21" s="167">
        <v>257632430.481</v>
      </c>
      <c r="U21" s="193">
        <f t="shared" si="9"/>
        <v>0.324</v>
      </c>
      <c r="V21" s="194"/>
    </row>
    <row r="22" spans="1:22" ht="12.75">
      <c r="A22" s="176">
        <f>ROW()</f>
        <v>22</v>
      </c>
      <c r="B22" s="188" t="s">
        <v>15</v>
      </c>
      <c r="C22" s="1"/>
      <c r="D22" s="189">
        <f>'BCF Allocation'!AA25</f>
        <v>24045629.095217824</v>
      </c>
      <c r="E22" s="190">
        <f>'Data Inputs - 2011'!O71</f>
        <v>22548908.170286182</v>
      </c>
      <c r="F22" s="190">
        <f t="shared" si="0"/>
        <v>1496721</v>
      </c>
      <c r="G22" s="135">
        <f t="shared" si="1"/>
        <v>0.06637665064299227</v>
      </c>
      <c r="H22" s="136">
        <f t="shared" si="2"/>
        <v>0.04101908088127383</v>
      </c>
      <c r="I22" s="135"/>
      <c r="J22" s="142">
        <f t="shared" si="3"/>
        <v>69072.27641046229</v>
      </c>
      <c r="K22" s="143">
        <f t="shared" si="4"/>
        <v>1565793.2764104623</v>
      </c>
      <c r="L22" s="144"/>
      <c r="M22" s="316">
        <f t="shared" si="5"/>
        <v>-149672.10410190807</v>
      </c>
      <c r="N22" s="137">
        <f t="shared" si="6"/>
        <v>1416121.1723085542</v>
      </c>
      <c r="O22" s="138"/>
      <c r="P22" s="141">
        <f>F22/($F$32-($F$24*(('Data Inputs - 2012'!$N$36-'AA Calculation'!$T$24)/'Data Inputs - 2012'!$N$36)))</f>
        <v>0.04547314905840828</v>
      </c>
      <c r="Q22" s="192">
        <f t="shared" si="7"/>
        <v>153769.90690752855</v>
      </c>
      <c r="R22" s="166">
        <f t="shared" si="8"/>
        <v>1569891.0792160828</v>
      </c>
      <c r="T22" s="167">
        <v>505845218.619</v>
      </c>
      <c r="U22" s="193">
        <f t="shared" si="9"/>
        <v>0.31</v>
      </c>
      <c r="V22" s="194"/>
    </row>
    <row r="23" spans="1:22" ht="12.75">
      <c r="A23" s="176">
        <f>ROW()</f>
        <v>23</v>
      </c>
      <c r="B23" s="188" t="s">
        <v>16</v>
      </c>
      <c r="C23" s="1"/>
      <c r="D23" s="189">
        <f>'BCF Allocation'!AA26</f>
        <v>43531255.03977961</v>
      </c>
      <c r="E23" s="190">
        <f>'Data Inputs - 2011'!O72</f>
        <v>40789969.59545616</v>
      </c>
      <c r="F23" s="190">
        <f t="shared" si="0"/>
        <v>2741285</v>
      </c>
      <c r="G23" s="135">
        <f t="shared" si="1"/>
        <v>0.06720487970908828</v>
      </c>
      <c r="H23" s="136">
        <f t="shared" si="2"/>
        <v>0.0751275562604004</v>
      </c>
      <c r="I23" s="135"/>
      <c r="J23" s="142">
        <f t="shared" si="3"/>
        <v>126507.74275222578</v>
      </c>
      <c r="K23" s="143">
        <f t="shared" si="4"/>
        <v>2867792.7427522256</v>
      </c>
      <c r="L23" s="144"/>
      <c r="M23" s="316">
        <f t="shared" si="5"/>
        <v>-274128.50751275563</v>
      </c>
      <c r="N23" s="137">
        <f t="shared" si="6"/>
        <v>2593664.23523947</v>
      </c>
      <c r="O23" s="138"/>
      <c r="P23" s="141">
        <f>F23/($F$32-($F$24*(('Data Inputs - 2012'!$N$36-'AA Calculation'!$T$24)/'Data Inputs - 2012'!$N$36)))</f>
        <v>0.0832853026159042</v>
      </c>
      <c r="Q23" s="192">
        <f t="shared" si="7"/>
        <v>281633.7442028303</v>
      </c>
      <c r="R23" s="166">
        <f t="shared" si="8"/>
        <v>2875297.9794423003</v>
      </c>
      <c r="T23" s="167">
        <v>936296194.4990001</v>
      </c>
      <c r="U23" s="193">
        <f t="shared" si="9"/>
        <v>0.307</v>
      </c>
      <c r="V23" s="194"/>
    </row>
    <row r="24" spans="1:22" ht="12.75">
      <c r="A24" s="176">
        <f>ROW()</f>
        <v>24</v>
      </c>
      <c r="B24" s="188" t="s">
        <v>38</v>
      </c>
      <c r="C24" s="1"/>
      <c r="D24" s="189">
        <f>'BCF Allocation'!AA27</f>
        <v>62602904.25759078</v>
      </c>
      <c r="E24" s="190">
        <f>'Data Inputs - 2011'!O73</f>
        <v>57879895.21545</v>
      </c>
      <c r="F24" s="190">
        <f t="shared" si="0"/>
        <v>4723009</v>
      </c>
      <c r="G24" s="135">
        <f t="shared" si="1"/>
        <v>0.08160016500408725</v>
      </c>
      <c r="H24" s="136">
        <f t="shared" si="2"/>
        <v>0.12943861158758663</v>
      </c>
      <c r="I24" s="135"/>
      <c r="J24" s="142">
        <f t="shared" si="3"/>
        <v>217962.45468400666</v>
      </c>
      <c r="K24" s="143">
        <f t="shared" si="4"/>
        <v>4940971.454684007</v>
      </c>
      <c r="L24" s="144"/>
      <c r="M24" s="316">
        <f t="shared" si="5"/>
        <v>-472300.91294386116</v>
      </c>
      <c r="N24" s="137">
        <f t="shared" si="6"/>
        <v>4468670.5417401455</v>
      </c>
      <c r="O24" s="138"/>
      <c r="P24" s="141">
        <f>(F24-(F24*(('Data Inputs - 2012'!N36-'AA Calculation'!T24)/'Data Inputs - 2012'!N36)))/($F$32-($F$24*(('Data Inputs - 2012'!N36-'AA Calculation'!T24)/'Data Inputs - 2012'!N36)))</f>
        <v>0.034908463835302384</v>
      </c>
      <c r="Q24" s="192">
        <f t="shared" si="7"/>
        <v>118044.85383988862</v>
      </c>
      <c r="R24" s="166">
        <f>N24-Q32+Q24</f>
        <v>1205161.4435980022</v>
      </c>
      <c r="T24" s="167">
        <v>441378432</v>
      </c>
      <c r="U24" s="193">
        <f>+ROUND(R24/T24*100,3)</f>
        <v>0.273</v>
      </c>
      <c r="V24" s="194"/>
    </row>
    <row r="25" spans="1:22" ht="12.75">
      <c r="A25" s="176">
        <f>ROW()</f>
        <v>25</v>
      </c>
      <c r="B25" s="188" t="s">
        <v>17</v>
      </c>
      <c r="C25" s="1"/>
      <c r="D25" s="189">
        <f>'BCF Allocation'!AA28</f>
        <v>9456921.323499115</v>
      </c>
      <c r="E25" s="190">
        <f>'Data Inputs - 2011'!O74</f>
        <v>8793898.375836803</v>
      </c>
      <c r="F25" s="190">
        <f t="shared" si="0"/>
        <v>663023</v>
      </c>
      <c r="G25" s="135">
        <f t="shared" si="1"/>
        <v>0.07539579964010086</v>
      </c>
      <c r="H25" s="136">
        <f t="shared" si="2"/>
        <v>0.018170784042680514</v>
      </c>
      <c r="I25" s="135"/>
      <c r="J25" s="142">
        <f t="shared" si="3"/>
        <v>30597.892274173973</v>
      </c>
      <c r="K25" s="143">
        <f t="shared" si="4"/>
        <v>693620.892274174</v>
      </c>
      <c r="L25" s="144"/>
      <c r="M25" s="316">
        <f t="shared" si="5"/>
        <v>-66302.3018170784</v>
      </c>
      <c r="N25" s="137">
        <f t="shared" si="6"/>
        <v>627318.5904570956</v>
      </c>
      <c r="O25" s="138"/>
      <c r="P25" s="141">
        <f>F25/($F$32-($F$24*(('Data Inputs - 2012'!$N$36-'AA Calculation'!$T$24)/'Data Inputs - 2012'!$N$36)))</f>
        <v>0.02014386362465218</v>
      </c>
      <c r="Q25" s="192">
        <f t="shared" si="7"/>
        <v>68117.56164812967</v>
      </c>
      <c r="R25" s="166">
        <f>N25+Q25</f>
        <v>695436.1521052254</v>
      </c>
      <c r="T25" s="167">
        <v>194541877.01</v>
      </c>
      <c r="U25" s="193">
        <f t="shared" si="9"/>
        <v>0.357</v>
      </c>
      <c r="V25" s="194"/>
    </row>
    <row r="26" spans="1:22" ht="15">
      <c r="A26" s="176">
        <f>ROW()</f>
        <v>26</v>
      </c>
      <c r="B26" s="188" t="s">
        <v>154</v>
      </c>
      <c r="C26" s="1"/>
      <c r="D26" s="195">
        <f>'BCF Allocation'!AA29</f>
        <v>5836148.853957885</v>
      </c>
      <c r="E26" s="196">
        <f>'Data Inputs - 2011'!O75</f>
        <v>5487825.752900037</v>
      </c>
      <c r="F26" s="196">
        <f t="shared" si="0"/>
        <v>348323</v>
      </c>
      <c r="G26" s="139">
        <f t="shared" si="1"/>
        <v>0.06347194967258736</v>
      </c>
      <c r="H26" s="136">
        <f t="shared" si="2"/>
        <v>0.00954612737431221</v>
      </c>
      <c r="I26" s="139"/>
      <c r="J26" s="142">
        <f t="shared" si="3"/>
        <v>16074.781162368576</v>
      </c>
      <c r="K26" s="143">
        <f t="shared" si="4"/>
        <v>364397.7811623686</v>
      </c>
      <c r="L26" s="144"/>
      <c r="M26" s="316">
        <f t="shared" si="5"/>
        <v>-34832.300954612736</v>
      </c>
      <c r="N26" s="137">
        <f t="shared" si="6"/>
        <v>329565.48020775587</v>
      </c>
      <c r="O26" s="138"/>
      <c r="P26" s="141">
        <f>F26/($F$32-($F$24*(('Data Inputs - 2012'!$N$36-'AA Calculation'!$T$24)/'Data Inputs - 2012'!$N$36)))</f>
        <v>0.01058269624029592</v>
      </c>
      <c r="Q26" s="192">
        <f t="shared" si="7"/>
        <v>35785.95829399806</v>
      </c>
      <c r="R26" s="166">
        <f>N26+Q26</f>
        <v>365351.43850175396</v>
      </c>
      <c r="T26" s="167">
        <v>112280645.098</v>
      </c>
      <c r="U26" s="193">
        <f t="shared" si="9"/>
        <v>0.325</v>
      </c>
      <c r="V26" s="197"/>
    </row>
    <row r="27" spans="1:22" ht="12.75">
      <c r="A27" s="176">
        <f>ROW()</f>
        <v>27</v>
      </c>
      <c r="B27" s="178" t="s">
        <v>279</v>
      </c>
      <c r="C27" s="1"/>
      <c r="D27" s="189">
        <f>SUM(D16:D26)</f>
        <v>540595235.0555968</v>
      </c>
      <c r="E27" s="190">
        <f>SUM(E16:E26)</f>
        <v>504106826.5963086</v>
      </c>
      <c r="F27" s="190">
        <f>SUM(F16:F26)</f>
        <v>36488409</v>
      </c>
      <c r="G27" s="135">
        <f t="shared" si="1"/>
        <v>0.07238229493214166</v>
      </c>
      <c r="H27" s="136">
        <f>SUM(H16:H26)</f>
        <v>1</v>
      </c>
      <c r="I27" s="135"/>
      <c r="J27" s="142">
        <f>SUM(J16:J26)</f>
        <v>1683906.0000000002</v>
      </c>
      <c r="K27" s="143">
        <f>SUM(K16:K26)</f>
        <v>38172314.99999999</v>
      </c>
      <c r="L27" s="144"/>
      <c r="M27" s="316">
        <f>SUM(M16:M26)</f>
        <v>-3648841</v>
      </c>
      <c r="N27" s="137">
        <f>SUM(N16:N26)</f>
        <v>34523474</v>
      </c>
      <c r="O27" s="138"/>
      <c r="P27" s="141">
        <f>SUM(P16:P26)</f>
        <v>1</v>
      </c>
      <c r="Q27" s="192">
        <f>P27*$Q$32</f>
        <v>3381553.951982032</v>
      </c>
      <c r="R27" s="166">
        <f>SUM(R16:R26)</f>
        <v>34523474</v>
      </c>
      <c r="T27" s="198">
        <f>SUM(T16:T26)</f>
        <v>9765062650.295</v>
      </c>
      <c r="U27" s="193">
        <f t="shared" si="9"/>
        <v>0.354</v>
      </c>
      <c r="V27" s="199"/>
    </row>
    <row r="28" spans="1:22" ht="12.75">
      <c r="A28" s="176">
        <f>ROW()</f>
        <v>28</v>
      </c>
      <c r="B28" s="188"/>
      <c r="C28" s="1"/>
      <c r="D28" s="189"/>
      <c r="E28" s="190"/>
      <c r="F28" s="190"/>
      <c r="G28" s="135"/>
      <c r="H28" s="136"/>
      <c r="I28" s="135"/>
      <c r="J28" s="142"/>
      <c r="K28" s="143"/>
      <c r="L28" s="144"/>
      <c r="M28" s="191"/>
      <c r="N28" s="137"/>
      <c r="O28" s="138"/>
      <c r="P28" s="140"/>
      <c r="Q28" s="138"/>
      <c r="R28" s="4"/>
      <c r="T28" s="198"/>
      <c r="U28" s="4"/>
      <c r="V28" s="199"/>
    </row>
    <row r="29" spans="1:22" ht="12.75">
      <c r="A29" s="176">
        <f>ROW()</f>
        <v>29</v>
      </c>
      <c r="B29" s="178" t="s">
        <v>302</v>
      </c>
      <c r="C29" s="1"/>
      <c r="D29" s="142">
        <f>'BCF Allocation'!AA37</f>
        <v>10242554.280000003</v>
      </c>
      <c r="E29" s="190">
        <f>'Data Inputs - 2011'!O81</f>
        <v>10242554.280000003</v>
      </c>
      <c r="F29" s="190">
        <f>ROUND(D29-E29,0)</f>
        <v>0</v>
      </c>
      <c r="G29" s="135">
        <f>+IF(OR(E29=0,D29="NA",E29="NA"),"NA",F29/E29)</f>
        <v>0</v>
      </c>
      <c r="H29" s="136">
        <f>IF(G29=0,0,+F29/F$32)</f>
        <v>0</v>
      </c>
      <c r="I29" s="135"/>
      <c r="J29" s="142">
        <f>+H29*J$32</f>
        <v>0</v>
      </c>
      <c r="K29" s="143">
        <f>+F29+J29</f>
        <v>0</v>
      </c>
      <c r="L29" s="144"/>
      <c r="M29" s="191">
        <f>+H29*M$32</f>
        <v>0</v>
      </c>
      <c r="N29" s="137">
        <f>+K29+M29</f>
        <v>0</v>
      </c>
      <c r="O29" s="138"/>
      <c r="P29" s="141">
        <f>F29/($F$32-($F$24*(('Data Inputs - 2012'!$N$36-'AA Calculation'!$T$24)/'Data Inputs - 2012'!$N$36)))</f>
        <v>0</v>
      </c>
      <c r="Q29" s="192">
        <f>P29*$Q$32</f>
        <v>0</v>
      </c>
      <c r="R29" s="166">
        <f>N29+Q29</f>
        <v>0</v>
      </c>
      <c r="T29" s="198">
        <v>179928000</v>
      </c>
      <c r="U29" s="193">
        <f>+ROUND(R29/T29*100,3)</f>
        <v>0</v>
      </c>
      <c r="V29" s="199"/>
    </row>
    <row r="30" spans="1:22" ht="12.75">
      <c r="A30" s="176">
        <f>ROW()</f>
        <v>30</v>
      </c>
      <c r="B30" s="188"/>
      <c r="C30" s="1"/>
      <c r="D30" s="200"/>
      <c r="E30" s="201"/>
      <c r="F30" s="190"/>
      <c r="G30" s="135"/>
      <c r="H30" s="136"/>
      <c r="I30" s="135"/>
      <c r="J30" s="140"/>
      <c r="K30" s="137"/>
      <c r="L30" s="138"/>
      <c r="M30" s="191"/>
      <c r="N30" s="137"/>
      <c r="O30" s="138"/>
      <c r="P30" s="140"/>
      <c r="Q30" s="138"/>
      <c r="R30" s="4"/>
      <c r="T30" s="198"/>
      <c r="U30" s="4"/>
      <c r="V30" s="199"/>
    </row>
    <row r="31" spans="1:22" ht="12.75">
      <c r="A31" s="176">
        <f>ROW()</f>
        <v>31</v>
      </c>
      <c r="B31" s="188"/>
      <c r="C31" s="1"/>
      <c r="D31" s="200"/>
      <c r="E31" s="201"/>
      <c r="F31" s="190"/>
      <c r="G31" s="135"/>
      <c r="H31" s="136"/>
      <c r="I31" s="135"/>
      <c r="J31" s="141"/>
      <c r="K31" s="136"/>
      <c r="L31" s="135"/>
      <c r="M31" s="141"/>
      <c r="N31" s="137"/>
      <c r="O31" s="138"/>
      <c r="P31" s="140"/>
      <c r="Q31" s="138"/>
      <c r="R31" s="4"/>
      <c r="T31" s="198"/>
      <c r="U31" s="4"/>
      <c r="V31" s="199"/>
    </row>
    <row r="32" spans="1:22" ht="25.5">
      <c r="A32" s="176">
        <f>ROW()</f>
        <v>32</v>
      </c>
      <c r="B32" s="202" t="s">
        <v>303</v>
      </c>
      <c r="C32" s="1"/>
      <c r="D32" s="142">
        <f>+D27+D29*'Monthly Fuel Cost Allocation'!$A$2</f>
        <v>540595235.0555968</v>
      </c>
      <c r="E32" s="144">
        <f>E27</f>
        <v>504106826.5963086</v>
      </c>
      <c r="F32" s="190">
        <f>+F27+F29</f>
        <v>36488409</v>
      </c>
      <c r="G32" s="135">
        <f>+IF(OR(E32=0,D32="NA",E32="NA"),"NA",F32/E32)</f>
        <v>0.07238229493214166</v>
      </c>
      <c r="H32" s="136">
        <f>+H27+H29</f>
        <v>1</v>
      </c>
      <c r="I32" s="135"/>
      <c r="J32" s="165">
        <v>1683906</v>
      </c>
      <c r="K32" s="143">
        <f>+K27+K29</f>
        <v>38172314.99999999</v>
      </c>
      <c r="L32" s="144"/>
      <c r="M32" s="317">
        <v>-3648841</v>
      </c>
      <c r="N32" s="137">
        <f>+N27+N29</f>
        <v>34523474</v>
      </c>
      <c r="O32" s="138"/>
      <c r="P32" s="141">
        <f>P27+P29</f>
        <v>1</v>
      </c>
      <c r="Q32" s="192">
        <f>(N24/'Data Inputs - 2012'!N13)*('Data Inputs - 2012'!N13-'AA Calculation'!T24)</f>
        <v>3381553.951982032</v>
      </c>
      <c r="R32" s="166">
        <f>R27+R29</f>
        <v>34523474</v>
      </c>
      <c r="T32" s="198">
        <f>+T27+T29</f>
        <v>9944990650.295</v>
      </c>
      <c r="U32" s="193">
        <f>+ROUND(R32/T32*100,3)</f>
        <v>0.347</v>
      </c>
      <c r="V32" s="199"/>
    </row>
    <row r="33" spans="1:22" ht="12.75">
      <c r="A33" s="176">
        <f>ROW()</f>
        <v>33</v>
      </c>
      <c r="B33" s="178"/>
      <c r="C33" s="1"/>
      <c r="D33" s="200"/>
      <c r="E33" s="201"/>
      <c r="F33" s="190"/>
      <c r="G33" s="135"/>
      <c r="H33" s="136"/>
      <c r="I33" s="135"/>
      <c r="J33" s="141"/>
      <c r="K33" s="136"/>
      <c r="L33" s="135"/>
      <c r="M33" s="141"/>
      <c r="N33" s="136"/>
      <c r="O33" s="135"/>
      <c r="P33" s="141"/>
      <c r="Q33" s="135"/>
      <c r="R33" s="4"/>
      <c r="T33" s="198"/>
      <c r="U33" s="4"/>
      <c r="V33" s="199"/>
    </row>
    <row r="34" spans="1:22" ht="12.75">
      <c r="A34" s="176">
        <f>ROW()</f>
        <v>34</v>
      </c>
      <c r="B34" s="178"/>
      <c r="C34" s="1"/>
      <c r="D34" s="142"/>
      <c r="E34" s="144"/>
      <c r="F34" s="190"/>
      <c r="G34" s="135"/>
      <c r="H34" s="136"/>
      <c r="I34" s="135"/>
      <c r="J34" s="141"/>
      <c r="K34" s="136"/>
      <c r="L34" s="135"/>
      <c r="M34" s="141"/>
      <c r="N34" s="136"/>
      <c r="O34" s="135"/>
      <c r="P34" s="141"/>
      <c r="Q34" s="135"/>
      <c r="R34" s="4"/>
      <c r="T34" s="198"/>
      <c r="U34" s="4"/>
      <c r="V34" s="199"/>
    </row>
    <row r="35" spans="1:22" ht="14.25">
      <c r="A35" s="176">
        <f>ROW()</f>
        <v>35</v>
      </c>
      <c r="B35" s="188" t="s">
        <v>29</v>
      </c>
      <c r="C35" s="1"/>
      <c r="D35" s="203">
        <f>+D32</f>
        <v>540595235.0555968</v>
      </c>
      <c r="E35" s="204">
        <f>+E32</f>
        <v>504106826.5963086</v>
      </c>
      <c r="F35" s="190">
        <f>+F30+F32</f>
        <v>36488409</v>
      </c>
      <c r="G35" s="135">
        <f>+IF(OR(E35=0,D35="NA",E35="NA"),"NA",F35/E35)</f>
        <v>0.07238229493214166</v>
      </c>
      <c r="H35" s="136"/>
      <c r="I35" s="135"/>
      <c r="J35" s="141"/>
      <c r="K35" s="136"/>
      <c r="L35" s="135"/>
      <c r="M35" s="141"/>
      <c r="N35" s="136"/>
      <c r="O35" s="135"/>
      <c r="P35" s="141"/>
      <c r="Q35" s="135"/>
      <c r="R35" s="4"/>
      <c r="T35" s="198"/>
      <c r="U35" s="4"/>
      <c r="V35" s="199"/>
    </row>
    <row r="36" spans="1:22" ht="12.75">
      <c r="A36" s="176">
        <f>ROW()</f>
        <v>36</v>
      </c>
      <c r="B36" s="188"/>
      <c r="C36" s="1"/>
      <c r="D36" s="205"/>
      <c r="E36" s="206"/>
      <c r="F36" s="145"/>
      <c r="G36" s="145"/>
      <c r="H36" s="146"/>
      <c r="I36" s="116"/>
      <c r="J36" s="147"/>
      <c r="K36" s="146"/>
      <c r="L36" s="116"/>
      <c r="M36" s="147"/>
      <c r="N36" s="146"/>
      <c r="O36" s="116"/>
      <c r="P36" s="147"/>
      <c r="Q36" s="145"/>
      <c r="R36" s="207"/>
      <c r="T36" s="208"/>
      <c r="U36" s="207"/>
      <c r="V36" s="182"/>
    </row>
    <row r="37" spans="1:22" ht="13.5" thickBot="1">
      <c r="A37" s="176">
        <f>ROW()</f>
        <v>37</v>
      </c>
      <c r="B37" s="209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210"/>
    </row>
    <row r="38" spans="1:6" ht="13.5" thickTop="1">
      <c r="A38" s="176">
        <f>ROW()</f>
        <v>38</v>
      </c>
      <c r="B38" s="1"/>
      <c r="E38" s="1"/>
      <c r="F38" s="211"/>
    </row>
    <row r="39" spans="1:6" ht="12.75">
      <c r="A39" s="176"/>
      <c r="B39" s="116" t="s">
        <v>323</v>
      </c>
      <c r="E39" s="1"/>
      <c r="F39" s="211"/>
    </row>
    <row r="40" spans="1:18" ht="12.75">
      <c r="A40" s="176">
        <f>ROW()</f>
        <v>40</v>
      </c>
      <c r="B40" s="79" t="s">
        <v>322</v>
      </c>
      <c r="D40" s="212"/>
      <c r="E40" s="213"/>
      <c r="F40" s="211"/>
      <c r="M40" s="211"/>
      <c r="R40" s="211"/>
    </row>
    <row r="41" spans="5:18" ht="12.75">
      <c r="E41" s="214"/>
      <c r="N41" s="215"/>
      <c r="R41" s="211"/>
    </row>
    <row r="42" spans="2:18" ht="12.75">
      <c r="B42" s="20"/>
      <c r="C42" s="20"/>
      <c r="D42" s="216"/>
      <c r="E42" s="216"/>
      <c r="F42" s="217"/>
      <c r="G42" s="20"/>
      <c r="H42" s="20"/>
      <c r="I42" s="20"/>
      <c r="J42" s="20"/>
      <c r="K42" s="20"/>
      <c r="L42" s="20"/>
      <c r="M42" s="217"/>
      <c r="N42" s="211"/>
      <c r="R42" s="211"/>
    </row>
    <row r="43" spans="2:10" ht="12.75">
      <c r="B43" s="20"/>
      <c r="J43" s="119"/>
    </row>
    <row r="44" spans="8:13" ht="12.75">
      <c r="H44" s="218"/>
      <c r="J44" s="119"/>
      <c r="M44" s="119"/>
    </row>
    <row r="45" ht="12.75">
      <c r="J45" s="5"/>
    </row>
    <row r="46" spans="4:10" ht="12.75">
      <c r="D46" s="190"/>
      <c r="F46" s="214"/>
      <c r="J46" s="5"/>
    </row>
    <row r="47" spans="4:13" ht="12.75">
      <c r="D47" s="190"/>
      <c r="F47" s="219"/>
      <c r="J47" s="8"/>
      <c r="M47" s="8"/>
    </row>
    <row r="48" ht="12.75">
      <c r="F48" s="214"/>
    </row>
  </sheetData>
  <sheetProtection/>
  <mergeCells count="7">
    <mergeCell ref="D10:H10"/>
    <mergeCell ref="J10:K10"/>
    <mergeCell ref="M10:N10"/>
    <mergeCell ref="P10:R10"/>
    <mergeCell ref="T10:U10"/>
    <mergeCell ref="B2:U2"/>
    <mergeCell ref="B3:U3"/>
  </mergeCells>
  <conditionalFormatting sqref="G16:G36 T13:U15">
    <cfRule type="cellIs" priority="5" dxfId="0" operator="lessThan" stopIfTrue="1">
      <formula>0</formula>
    </cfRule>
  </conditionalFormatting>
  <conditionalFormatting sqref="U16:U27 T27:U34">
    <cfRule type="cellIs" priority="3" dxfId="0" operator="lessThan" stopIfTrue="1">
      <formula>0</formula>
    </cfRule>
  </conditionalFormatting>
  <conditionalFormatting sqref="T18:T26 T16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17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D64"/>
  <sheetViews>
    <sheetView tabSelected="1" view="pageBreakPreview" zoomScale="60" zoomScalePageLayoutView="0" workbookViewId="0" topLeftCell="A1">
      <pane xSplit="2" ySplit="14" topLeftCell="F15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T61" sqref="T61"/>
    </sheetView>
  </sheetViews>
  <sheetFormatPr defaultColWidth="9.140625" defaultRowHeight="12.75"/>
  <cols>
    <col min="1" max="1" width="5.00390625" style="176" customWidth="1"/>
    <col min="2" max="2" width="34.8515625" style="3" customWidth="1"/>
    <col min="3" max="3" width="14.8515625" style="3" customWidth="1"/>
    <col min="4" max="4" width="11.140625" style="3" customWidth="1"/>
    <col min="5" max="5" width="12.00390625" style="3" customWidth="1"/>
    <col min="6" max="6" width="20.140625" style="3" customWidth="1"/>
    <col min="7" max="7" width="10.7109375" style="3" customWidth="1"/>
    <col min="8" max="8" width="18.8515625" style="3" customWidth="1"/>
    <col min="9" max="9" width="18.28125" style="3" customWidth="1"/>
    <col min="10" max="11" width="14.421875" style="3" customWidth="1"/>
    <col min="12" max="12" width="14.00390625" style="3" customWidth="1"/>
    <col min="13" max="13" width="16.140625" style="3" customWidth="1"/>
    <col min="14" max="14" width="16.00390625" style="3" customWidth="1"/>
    <col min="15" max="15" width="15.57421875" style="3" customWidth="1"/>
    <col min="16" max="16" width="14.7109375" style="3" customWidth="1"/>
    <col min="17" max="17" width="16.00390625" style="3" customWidth="1"/>
    <col min="18" max="18" width="15.421875" style="3" customWidth="1"/>
    <col min="19" max="19" width="15.28125" style="3" customWidth="1"/>
    <col min="20" max="20" width="17.57421875" style="3" customWidth="1"/>
    <col min="21" max="21" width="16.28125" style="3" customWidth="1"/>
    <col min="22" max="22" width="17.8515625" style="3" customWidth="1"/>
    <col min="23" max="23" width="15.28125" style="3" customWidth="1"/>
    <col min="24" max="24" width="17.8515625" style="3" customWidth="1"/>
    <col min="25" max="25" width="12.8515625" style="3" customWidth="1"/>
    <col min="26" max="26" width="11.7109375" style="3" customWidth="1"/>
    <col min="27" max="27" width="18.140625" style="3" customWidth="1"/>
    <col min="28" max="28" width="11.7109375" style="3" customWidth="1"/>
    <col min="29" max="29" width="1.57421875" style="3" customWidth="1"/>
    <col min="30" max="30" width="9.7109375" style="1" bestFit="1" customWidth="1"/>
    <col min="31" max="31" width="9.140625" style="1" customWidth="1"/>
    <col min="32" max="16384" width="9.140625" style="3" customWidth="1"/>
  </cols>
  <sheetData>
    <row r="2" spans="1:28" ht="45" customHeight="1">
      <c r="A2" s="175" t="s">
        <v>21</v>
      </c>
      <c r="B2" s="335" t="s">
        <v>189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</row>
    <row r="3" spans="1:28" ht="12.75">
      <c r="A3" s="176">
        <v>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ht="20.25" customHeight="1">
      <c r="A4" s="176">
        <f aca="true" t="shared" si="0" ref="A4:A9">+A3+1</f>
        <v>2</v>
      </c>
      <c r="B4" s="336" t="s">
        <v>183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</row>
    <row r="5" ht="12.75">
      <c r="A5" s="176">
        <f t="shared" si="0"/>
        <v>3</v>
      </c>
    </row>
    <row r="6" spans="1:28" ht="15.75">
      <c r="A6" s="176">
        <f t="shared" si="0"/>
        <v>4</v>
      </c>
      <c r="B6" s="173" t="s">
        <v>0</v>
      </c>
      <c r="C6" s="170" t="s">
        <v>1</v>
      </c>
      <c r="D6" s="170" t="s">
        <v>2</v>
      </c>
      <c r="E6" s="170" t="s">
        <v>3</v>
      </c>
      <c r="F6" s="170" t="s">
        <v>4</v>
      </c>
      <c r="G6" s="170" t="s">
        <v>5</v>
      </c>
      <c r="H6" s="170" t="s">
        <v>19</v>
      </c>
      <c r="I6" s="170" t="s">
        <v>18</v>
      </c>
      <c r="J6" s="170" t="s">
        <v>20</v>
      </c>
      <c r="K6" s="170" t="s">
        <v>22</v>
      </c>
      <c r="L6" s="170" t="s">
        <v>24</v>
      </c>
      <c r="M6" s="170" t="s">
        <v>25</v>
      </c>
      <c r="N6" s="170" t="s">
        <v>64</v>
      </c>
      <c r="O6" s="170" t="s">
        <v>32</v>
      </c>
      <c r="P6" s="170" t="s">
        <v>37</v>
      </c>
      <c r="Q6" s="170" t="s">
        <v>113</v>
      </c>
      <c r="R6" s="170" t="s">
        <v>65</v>
      </c>
      <c r="S6" s="170" t="s">
        <v>66</v>
      </c>
      <c r="T6" s="170" t="s">
        <v>67</v>
      </c>
      <c r="U6" s="170" t="s">
        <v>111</v>
      </c>
      <c r="V6" s="170" t="s">
        <v>112</v>
      </c>
      <c r="W6" s="170" t="s">
        <v>114</v>
      </c>
      <c r="X6" s="170" t="s">
        <v>116</v>
      </c>
      <c r="Y6" s="170" t="s">
        <v>117</v>
      </c>
      <c r="Z6" s="170" t="s">
        <v>115</v>
      </c>
      <c r="AA6" s="170" t="s">
        <v>142</v>
      </c>
      <c r="AB6" s="170" t="s">
        <v>143</v>
      </c>
    </row>
    <row r="7" ht="12.75">
      <c r="A7" s="176">
        <f t="shared" si="0"/>
        <v>5</v>
      </c>
    </row>
    <row r="8" spans="1:28" ht="27" customHeight="1">
      <c r="A8" s="176">
        <f t="shared" si="0"/>
        <v>6</v>
      </c>
      <c r="B8" s="173" t="s">
        <v>6</v>
      </c>
      <c r="C8" s="173"/>
      <c r="D8" s="173"/>
      <c r="E8" s="173"/>
      <c r="F8" s="173"/>
      <c r="G8" s="173"/>
      <c r="H8" s="173"/>
      <c r="I8" s="173"/>
      <c r="J8" s="221" t="s">
        <v>327</v>
      </c>
      <c r="K8" s="221" t="s">
        <v>328</v>
      </c>
      <c r="L8" s="221" t="s">
        <v>329</v>
      </c>
      <c r="M8" s="173" t="s">
        <v>118</v>
      </c>
      <c r="N8" s="173" t="s">
        <v>119</v>
      </c>
      <c r="O8" s="221" t="s">
        <v>330</v>
      </c>
      <c r="P8" s="221" t="s">
        <v>331</v>
      </c>
      <c r="Q8" s="221" t="s">
        <v>332</v>
      </c>
      <c r="R8" s="173" t="s">
        <v>120</v>
      </c>
      <c r="S8" s="173" t="s">
        <v>121</v>
      </c>
      <c r="T8" s="173" t="s">
        <v>122</v>
      </c>
      <c r="U8" s="221" t="s">
        <v>333</v>
      </c>
      <c r="V8" s="221" t="s">
        <v>334</v>
      </c>
      <c r="W8" s="221" t="s">
        <v>335</v>
      </c>
      <c r="X8" s="173" t="s">
        <v>144</v>
      </c>
      <c r="Y8" s="173" t="s">
        <v>145</v>
      </c>
      <c r="Z8" s="221" t="str">
        <f>"Y / Y (line "&amp;A30&amp;")"</f>
        <v>Y / Y (line 30)</v>
      </c>
      <c r="AA8" s="221" t="str">
        <f>"Z x X            (line "&amp;A30&amp;")"</f>
        <v>Z x X            (line 30)</v>
      </c>
      <c r="AB8" s="173" t="s">
        <v>146</v>
      </c>
    </row>
    <row r="9" spans="1:28" ht="6" customHeight="1" thickBot="1">
      <c r="A9" s="176">
        <f t="shared" si="0"/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9" ht="13.5" thickTop="1">
      <c r="A10" s="176">
        <f>ROW()</f>
        <v>10</v>
      </c>
      <c r="B10" s="22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74"/>
    </row>
    <row r="11" spans="1:29" ht="54" customHeight="1">
      <c r="A11" s="176">
        <f>ROW()</f>
        <v>11</v>
      </c>
      <c r="B11" s="223"/>
      <c r="C11" s="344" t="s">
        <v>43</v>
      </c>
      <c r="D11" s="345"/>
      <c r="E11" s="345"/>
      <c r="F11" s="345"/>
      <c r="G11" s="345"/>
      <c r="H11" s="346"/>
      <c r="I11" s="349" t="s">
        <v>35</v>
      </c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1"/>
      <c r="Y11" s="354" t="s">
        <v>33</v>
      </c>
      <c r="Z11" s="355"/>
      <c r="AA11" s="355"/>
      <c r="AB11" s="356"/>
      <c r="AC11" s="182"/>
    </row>
    <row r="12" spans="1:29" ht="30" customHeight="1">
      <c r="A12" s="176">
        <f>ROW()</f>
        <v>12</v>
      </c>
      <c r="B12" s="223"/>
      <c r="C12" s="342" t="s">
        <v>185</v>
      </c>
      <c r="D12" s="337" t="s">
        <v>188</v>
      </c>
      <c r="E12" s="340"/>
      <c r="F12" s="337" t="s">
        <v>186</v>
      </c>
      <c r="G12" s="340"/>
      <c r="H12" s="342" t="s">
        <v>187</v>
      </c>
      <c r="I12" s="337" t="s">
        <v>42</v>
      </c>
      <c r="J12" s="357" t="s">
        <v>102</v>
      </c>
      <c r="K12" s="339"/>
      <c r="L12" s="339"/>
      <c r="M12" s="339"/>
      <c r="N12" s="358"/>
      <c r="O12" s="357" t="s">
        <v>103</v>
      </c>
      <c r="P12" s="339"/>
      <c r="Q12" s="339"/>
      <c r="R12" s="339"/>
      <c r="S12" s="358"/>
      <c r="T12" s="366" t="s">
        <v>140</v>
      </c>
      <c r="U12" s="366" t="s">
        <v>27</v>
      </c>
      <c r="V12" s="225"/>
      <c r="W12" s="225"/>
      <c r="X12" s="340" t="s">
        <v>141</v>
      </c>
      <c r="Y12" s="363" t="s">
        <v>34</v>
      </c>
      <c r="Z12" s="359" t="s">
        <v>23</v>
      </c>
      <c r="AA12" s="359" t="s">
        <v>36</v>
      </c>
      <c r="AB12" s="369" t="s">
        <v>8</v>
      </c>
      <c r="AC12" s="182"/>
    </row>
    <row r="13" spans="1:29" ht="18" customHeight="1">
      <c r="A13" s="176">
        <f>ROW()</f>
        <v>13</v>
      </c>
      <c r="B13" s="223"/>
      <c r="C13" s="347"/>
      <c r="D13" s="342" t="s">
        <v>71</v>
      </c>
      <c r="E13" s="342" t="s">
        <v>72</v>
      </c>
      <c r="F13" s="342" t="s">
        <v>73</v>
      </c>
      <c r="G13" s="342" t="s">
        <v>72</v>
      </c>
      <c r="H13" s="347"/>
      <c r="I13" s="352"/>
      <c r="J13" s="337" t="s">
        <v>40</v>
      </c>
      <c r="K13" s="339" t="s">
        <v>68</v>
      </c>
      <c r="L13" s="339"/>
      <c r="M13" s="339"/>
      <c r="N13" s="340" t="s">
        <v>41</v>
      </c>
      <c r="O13" s="337" t="s">
        <v>40</v>
      </c>
      <c r="P13" s="339" t="s">
        <v>68</v>
      </c>
      <c r="Q13" s="339"/>
      <c r="R13" s="339"/>
      <c r="S13" s="340" t="s">
        <v>41</v>
      </c>
      <c r="T13" s="367"/>
      <c r="U13" s="367"/>
      <c r="V13" s="226"/>
      <c r="W13" s="226"/>
      <c r="X13" s="362"/>
      <c r="Y13" s="364"/>
      <c r="Z13" s="360"/>
      <c r="AA13" s="360"/>
      <c r="AB13" s="370"/>
      <c r="AC13" s="182"/>
    </row>
    <row r="14" spans="1:29" ht="49.5" customHeight="1">
      <c r="A14" s="176">
        <f>ROW()</f>
        <v>14</v>
      </c>
      <c r="B14" s="227" t="s">
        <v>7</v>
      </c>
      <c r="C14" s="348"/>
      <c r="D14" s="343"/>
      <c r="E14" s="343" t="s">
        <v>72</v>
      </c>
      <c r="F14" s="343"/>
      <c r="G14" s="343" t="s">
        <v>72</v>
      </c>
      <c r="H14" s="348"/>
      <c r="I14" s="353"/>
      <c r="J14" s="338"/>
      <c r="K14" s="228" t="s">
        <v>69</v>
      </c>
      <c r="L14" s="229" t="s">
        <v>70</v>
      </c>
      <c r="M14" s="230" t="s">
        <v>44</v>
      </c>
      <c r="N14" s="341"/>
      <c r="O14" s="338"/>
      <c r="P14" s="228" t="s">
        <v>69</v>
      </c>
      <c r="Q14" s="229" t="s">
        <v>70</v>
      </c>
      <c r="R14" s="230" t="s">
        <v>44</v>
      </c>
      <c r="S14" s="341"/>
      <c r="T14" s="368"/>
      <c r="U14" s="368"/>
      <c r="V14" s="231" t="s">
        <v>139</v>
      </c>
      <c r="W14" s="231" t="s">
        <v>299</v>
      </c>
      <c r="X14" s="341"/>
      <c r="Y14" s="365"/>
      <c r="Z14" s="361"/>
      <c r="AA14" s="361"/>
      <c r="AB14" s="371"/>
      <c r="AC14" s="182"/>
    </row>
    <row r="15" spans="1:29" ht="12.75" customHeight="1">
      <c r="A15" s="176">
        <f>ROW()</f>
        <v>15</v>
      </c>
      <c r="B15" s="232"/>
      <c r="C15" s="90"/>
      <c r="D15" s="90"/>
      <c r="E15" s="90"/>
      <c r="F15" s="90"/>
      <c r="G15" s="90"/>
      <c r="H15" s="91"/>
      <c r="I15" s="132"/>
      <c r="J15" s="132"/>
      <c r="K15" s="132"/>
      <c r="L15" s="183"/>
      <c r="M15" s="131"/>
      <c r="N15" s="131"/>
      <c r="O15" s="132"/>
      <c r="P15" s="132"/>
      <c r="Q15" s="183"/>
      <c r="R15" s="131"/>
      <c r="S15" s="131"/>
      <c r="T15" s="183"/>
      <c r="U15" s="183"/>
      <c r="V15" s="183"/>
      <c r="W15" s="183"/>
      <c r="X15" s="131"/>
      <c r="Y15" s="183"/>
      <c r="Z15" s="183"/>
      <c r="AA15" s="183"/>
      <c r="AB15" s="131"/>
      <c r="AC15" s="182"/>
    </row>
    <row r="16" spans="1:29" ht="12.75">
      <c r="A16" s="176">
        <f>ROW()</f>
        <v>16</v>
      </c>
      <c r="B16" s="233" t="s">
        <v>147</v>
      </c>
      <c r="C16" s="90"/>
      <c r="D16" s="89"/>
      <c r="E16" s="89"/>
      <c r="F16" s="90"/>
      <c r="G16" s="90"/>
      <c r="H16" s="91"/>
      <c r="I16" s="132"/>
      <c r="J16" s="132"/>
      <c r="K16" s="132"/>
      <c r="L16" s="183"/>
      <c r="M16" s="131"/>
      <c r="N16" s="131"/>
      <c r="O16" s="132"/>
      <c r="P16" s="132"/>
      <c r="Q16" s="183"/>
      <c r="R16" s="131"/>
      <c r="S16" s="131"/>
      <c r="T16" s="183"/>
      <c r="U16" s="183"/>
      <c r="V16" s="183"/>
      <c r="W16" s="183"/>
      <c r="X16" s="131"/>
      <c r="Y16" s="183"/>
      <c r="Z16" s="183"/>
      <c r="AA16" s="183"/>
      <c r="AB16" s="131"/>
      <c r="AC16" s="182"/>
    </row>
    <row r="17" spans="1:29" ht="12.75">
      <c r="A17" s="176">
        <f>ROW()</f>
        <v>17</v>
      </c>
      <c r="B17" s="224" t="s">
        <v>9</v>
      </c>
      <c r="C17" s="95"/>
      <c r="D17" s="4"/>
      <c r="E17" s="4"/>
      <c r="F17" s="28"/>
      <c r="G17" s="28"/>
      <c r="H17" s="28">
        <f>+'Monthly Energy Allocators'!N5</f>
        <v>4117431708.9870834</v>
      </c>
      <c r="I17" s="234"/>
      <c r="J17" s="234"/>
      <c r="K17" s="234"/>
      <c r="L17" s="235"/>
      <c r="M17" s="236"/>
      <c r="N17" s="236"/>
      <c r="O17" s="234"/>
      <c r="P17" s="234"/>
      <c r="Q17" s="235"/>
      <c r="R17" s="236"/>
      <c r="S17" s="236"/>
      <c r="T17" s="235"/>
      <c r="U17" s="235"/>
      <c r="V17" s="235"/>
      <c r="W17" s="235"/>
      <c r="X17" s="236"/>
      <c r="Y17" s="235"/>
      <c r="Z17" s="235"/>
      <c r="AA17" s="235"/>
      <c r="AB17" s="237"/>
      <c r="AC17" s="182"/>
    </row>
    <row r="18" spans="1:29" ht="15">
      <c r="A18" s="176">
        <f>ROW()</f>
        <v>18</v>
      </c>
      <c r="B18" s="224" t="s">
        <v>10</v>
      </c>
      <c r="C18" s="95"/>
      <c r="D18" s="4"/>
      <c r="E18" s="4"/>
      <c r="F18" s="92"/>
      <c r="G18" s="92"/>
      <c r="H18" s="92">
        <f>+'Monthly Energy Allocators'!N6</f>
        <v>194315333.00049773</v>
      </c>
      <c r="I18" s="45"/>
      <c r="J18" s="45"/>
      <c r="K18" s="45"/>
      <c r="L18" s="44"/>
      <c r="M18" s="38"/>
      <c r="N18" s="38"/>
      <c r="O18" s="45"/>
      <c r="P18" s="45"/>
      <c r="Q18" s="44"/>
      <c r="R18" s="38"/>
      <c r="S18" s="38"/>
      <c r="T18" s="44"/>
      <c r="U18" s="44"/>
      <c r="V18" s="44"/>
      <c r="W18" s="44"/>
      <c r="X18" s="38"/>
      <c r="Y18" s="44"/>
      <c r="Z18" s="44"/>
      <c r="AA18" s="44"/>
      <c r="AB18" s="238"/>
      <c r="AC18" s="182"/>
    </row>
    <row r="19" spans="1:30" ht="15">
      <c r="A19" s="176">
        <f>ROW()</f>
        <v>19</v>
      </c>
      <c r="B19" s="224" t="s">
        <v>153</v>
      </c>
      <c r="C19" s="27">
        <v>0.9890507030161523</v>
      </c>
      <c r="D19" s="29">
        <f>+'3CP &amp; Rate Base'!O4+'3CP &amp; Rate Base'!O5</f>
        <v>3361452.2330940217</v>
      </c>
      <c r="E19" s="93">
        <f>+D19/D$30</f>
        <v>0.5156095439531458</v>
      </c>
      <c r="F19" s="28">
        <f>+'Monthly Energy Allocators'!N99</f>
        <v>4705411712.435686</v>
      </c>
      <c r="G19" s="93">
        <f>+F19/F$30</f>
        <v>0.4069456698173918</v>
      </c>
      <c r="H19" s="28">
        <f>+H17+H18</f>
        <v>4311747041.987581</v>
      </c>
      <c r="I19" s="31">
        <f>+'Monthly Fuel Cost Allocation'!N73</f>
        <v>178488885.43268275</v>
      </c>
      <c r="J19" s="31">
        <f>+J$30*$G19</f>
        <v>12150842.382686287</v>
      </c>
      <c r="K19" s="31">
        <f>+$G19*K$30</f>
        <v>6432904.499151475</v>
      </c>
      <c r="L19" s="30">
        <f>+$E19*L$30</f>
        <v>4445595.939371009</v>
      </c>
      <c r="M19" s="32">
        <f>+K19+L19</f>
        <v>10878500.438522484</v>
      </c>
      <c r="N19" s="32">
        <f>+J19+K19+L19</f>
        <v>23029342.82120877</v>
      </c>
      <c r="O19" s="31">
        <f>+O$30*$G19</f>
        <v>13242018.059239771</v>
      </c>
      <c r="P19" s="31">
        <f>+$G19*P$30</f>
        <v>3972605.4177719317</v>
      </c>
      <c r="Q19" s="30">
        <f>+$E19*Q$30</f>
        <v>2157163.98633998</v>
      </c>
      <c r="R19" s="32">
        <f>+P19+Q19</f>
        <v>6129769.404111912</v>
      </c>
      <c r="S19" s="32">
        <f>+O19+P19+Q19</f>
        <v>19371787.46335168</v>
      </c>
      <c r="T19" s="30">
        <f>+I19+N19+S19</f>
        <v>220890015.7172432</v>
      </c>
      <c r="U19" s="239">
        <f>+G19*U$30</f>
        <v>-647737.8643223614</v>
      </c>
      <c r="V19" s="239">
        <f>+G19*V$30</f>
        <v>-895280.4735982605</v>
      </c>
      <c r="W19" s="30">
        <f>+G19*W$30</f>
        <v>2094972.635510292</v>
      </c>
      <c r="X19" s="32">
        <f>+T19+U19+V19+W19</f>
        <v>221441970.01483285</v>
      </c>
      <c r="Y19" s="30">
        <f>+X19*C19</f>
        <v>219017336.12045214</v>
      </c>
      <c r="Z19" s="240">
        <f>+Y19/Y$30</f>
        <v>0.40555717486446397</v>
      </c>
      <c r="AA19" s="30">
        <f>+Z19*X$30</f>
        <v>219242276.2743387</v>
      </c>
      <c r="AB19" s="34">
        <f>+AA19/H19*100</f>
        <v>5.084766665098118</v>
      </c>
      <c r="AC19" s="182"/>
      <c r="AD19" s="241"/>
    </row>
    <row r="20" spans="1:30" ht="15">
      <c r="A20" s="176">
        <f>ROW()</f>
        <v>20</v>
      </c>
      <c r="B20" s="224"/>
      <c r="C20" s="27"/>
      <c r="D20" s="29"/>
      <c r="E20" s="29"/>
      <c r="F20" s="28"/>
      <c r="G20" s="29"/>
      <c r="H20" s="28"/>
      <c r="I20" s="31"/>
      <c r="J20" s="31"/>
      <c r="K20" s="31"/>
      <c r="L20" s="30"/>
      <c r="M20" s="32"/>
      <c r="N20" s="32"/>
      <c r="O20" s="31"/>
      <c r="P20" s="31"/>
      <c r="Q20" s="30"/>
      <c r="R20" s="32"/>
      <c r="S20" s="32"/>
      <c r="T20" s="30"/>
      <c r="U20" s="239"/>
      <c r="V20" s="239"/>
      <c r="W20" s="30"/>
      <c r="X20" s="32"/>
      <c r="Y20" s="30"/>
      <c r="Z20" s="30"/>
      <c r="AA20" s="30"/>
      <c r="AB20" s="34"/>
      <c r="AC20" s="182"/>
      <c r="AD20" s="241"/>
    </row>
    <row r="21" spans="1:30" ht="15">
      <c r="A21" s="176">
        <f>ROW()</f>
        <v>21</v>
      </c>
      <c r="B21" s="224" t="s">
        <v>11</v>
      </c>
      <c r="C21" s="27">
        <v>1.0231849611395256</v>
      </c>
      <c r="D21" s="29">
        <f>+'3CP &amp; Rate Base'!O6</f>
        <v>161273.54452226893</v>
      </c>
      <c r="E21" s="93">
        <f aca="true" t="shared" si="1" ref="E21:G29">+D21/D$30</f>
        <v>0.024737575600262462</v>
      </c>
      <c r="F21" s="28">
        <f>+'Monthly Energy Allocators'!N100</f>
        <v>261439253.56196773</v>
      </c>
      <c r="G21" s="93">
        <f t="shared" si="1"/>
        <v>0.022610470381615528</v>
      </c>
      <c r="H21" s="28">
        <f>+'Monthly Energy Allocators'!N8</f>
        <v>240604998.1603973</v>
      </c>
      <c r="I21" s="31">
        <f>+'Monthly Fuel Cost Allocation'!N74</f>
        <v>9905005.629099522</v>
      </c>
      <c r="J21" s="31">
        <f aca="true" t="shared" si="2" ref="J21:J29">+J$30*$G21</f>
        <v>675117.791347157</v>
      </c>
      <c r="K21" s="31">
        <f aca="true" t="shared" si="3" ref="K21:K29">+$G21*K$30</f>
        <v>357421.16806671943</v>
      </c>
      <c r="L21" s="30">
        <f aca="true" t="shared" si="4" ref="L21:L29">+$E21*L$30</f>
        <v>213287.87825619377</v>
      </c>
      <c r="M21" s="32">
        <f aca="true" t="shared" si="5" ref="M21:M29">+K21+L21</f>
        <v>570709.0463229131</v>
      </c>
      <c r="N21" s="32">
        <f aca="true" t="shared" si="6" ref="N21:N29">+J21+K21+L21</f>
        <v>1245826.8376700701</v>
      </c>
      <c r="O21" s="31">
        <f aca="true" t="shared" si="7" ref="O21:O29">+O$30*$G21</f>
        <v>735745.0375516021</v>
      </c>
      <c r="P21" s="31">
        <f aca="true" t="shared" si="8" ref="P21:P29">+$G21*P$30</f>
        <v>220723.51126548066</v>
      </c>
      <c r="Q21" s="30">
        <f aca="true" t="shared" si="9" ref="Q21:Q29">+$E21*Q$30</f>
        <v>103494.995040468</v>
      </c>
      <c r="R21" s="32">
        <f aca="true" t="shared" si="10" ref="R21:R29">+P21+Q21</f>
        <v>324218.50630594866</v>
      </c>
      <c r="S21" s="32">
        <f aca="true" t="shared" si="11" ref="S21:S29">+O21+P21+Q21</f>
        <v>1059963.5438575507</v>
      </c>
      <c r="T21" s="30">
        <f aca="true" t="shared" si="12" ref="T21:T29">+I21+N21+S21</f>
        <v>12210796.010627141</v>
      </c>
      <c r="U21" s="239">
        <f aca="true" t="shared" si="13" ref="U21:U29">+G21*U$30</f>
        <v>-35989.22136923973</v>
      </c>
      <c r="V21" s="239">
        <f aca="true" t="shared" si="14" ref="V21:V29">+G21*V$30</f>
        <v>-49743.034839554086</v>
      </c>
      <c r="W21" s="30">
        <f aca="true" t="shared" si="15" ref="W21:W29">+G21*W$30</f>
        <v>116399.60869163691</v>
      </c>
      <c r="X21" s="32">
        <f aca="true" t="shared" si="16" ref="X21:X29">+T21+U21+V21+W21</f>
        <v>12241463.363109984</v>
      </c>
      <c r="Y21" s="30">
        <f aca="true" t="shared" si="17" ref="Y21:Y29">+X21*C21</f>
        <v>12525281.215474615</v>
      </c>
      <c r="Z21" s="240">
        <f aca="true" t="shared" si="18" ref="Z21:Z29">+Y21/Y$30</f>
        <v>0.023193221843119994</v>
      </c>
      <c r="AA21" s="30">
        <f aca="true" t="shared" si="19" ref="AA21:AA29">+Z21*X$30</f>
        <v>12538145.213978056</v>
      </c>
      <c r="AB21" s="34">
        <f aca="true" t="shared" si="20" ref="AB21:AB30">+AA21/H21*100</f>
        <v>5.211090920737901</v>
      </c>
      <c r="AC21" s="182"/>
      <c r="AD21" s="241"/>
    </row>
    <row r="22" spans="1:30" ht="15">
      <c r="A22" s="176">
        <f>ROW()</f>
        <v>22</v>
      </c>
      <c r="B22" s="224" t="s">
        <v>12</v>
      </c>
      <c r="C22" s="27">
        <v>1.0716964160107805</v>
      </c>
      <c r="D22" s="29">
        <f>+'3CP &amp; Rate Base'!O7</f>
        <v>1320065.7071633604</v>
      </c>
      <c r="E22" s="93">
        <f t="shared" si="1"/>
        <v>0.20248345954694677</v>
      </c>
      <c r="F22" s="28">
        <f>+'Monthly Energy Allocators'!N101</f>
        <v>2607250626.4963603</v>
      </c>
      <c r="G22" s="93">
        <f t="shared" si="1"/>
        <v>0.22548703863198402</v>
      </c>
      <c r="H22" s="28">
        <f>+'Monthly Energy Allocators'!N9</f>
        <v>2461268950.7201157</v>
      </c>
      <c r="I22" s="31">
        <f>+'Monthly Fuel Cost Allocation'!N75</f>
        <v>98878541.6571726</v>
      </c>
      <c r="J22" s="31">
        <f t="shared" si="2"/>
        <v>6732735.273938126</v>
      </c>
      <c r="K22" s="31">
        <f t="shared" si="3"/>
        <v>3564447.7700596494</v>
      </c>
      <c r="L22" s="30">
        <f t="shared" si="4"/>
        <v>1745816.4925541007</v>
      </c>
      <c r="M22" s="32">
        <f t="shared" si="5"/>
        <v>5310264.26261375</v>
      </c>
      <c r="N22" s="32">
        <f t="shared" si="6"/>
        <v>12042999.536551876</v>
      </c>
      <c r="O22" s="31">
        <f t="shared" si="7"/>
        <v>7337351.541371823</v>
      </c>
      <c r="P22" s="31">
        <f t="shared" si="8"/>
        <v>2201205.462411547</v>
      </c>
      <c r="Q22" s="30">
        <f t="shared" si="9"/>
        <v>847133.3238236053</v>
      </c>
      <c r="R22" s="32">
        <f t="shared" si="10"/>
        <v>3048338.7862351523</v>
      </c>
      <c r="S22" s="32">
        <f t="shared" si="11"/>
        <v>10385690.327606976</v>
      </c>
      <c r="T22" s="30">
        <f t="shared" si="12"/>
        <v>121307231.52133146</v>
      </c>
      <c r="U22" s="239">
        <f t="shared" si="13"/>
        <v>-358909.07231276075</v>
      </c>
      <c r="V22" s="239">
        <f t="shared" si="14"/>
        <v>-496071.4849903641</v>
      </c>
      <c r="W22" s="30">
        <f t="shared" si="15"/>
        <v>1160816.3217665718</v>
      </c>
      <c r="X22" s="32">
        <f t="shared" si="16"/>
        <v>121613067.28579491</v>
      </c>
      <c r="Y22" s="30">
        <f t="shared" si="17"/>
        <v>130332288.3502643</v>
      </c>
      <c r="Z22" s="240">
        <f t="shared" si="18"/>
        <v>0.24133794882741247</v>
      </c>
      <c r="AA22" s="30">
        <f t="shared" si="19"/>
        <v>130466145.17419064</v>
      </c>
      <c r="AB22" s="34">
        <f t="shared" si="20"/>
        <v>5.300767522217309</v>
      </c>
      <c r="AC22" s="182"/>
      <c r="AD22" s="241"/>
    </row>
    <row r="23" spans="1:30" ht="15">
      <c r="A23" s="176">
        <f>ROW()</f>
        <v>23</v>
      </c>
      <c r="B23" s="224" t="s">
        <v>13</v>
      </c>
      <c r="C23" s="27">
        <v>0.9868926072234047</v>
      </c>
      <c r="D23" s="29">
        <f>+'3CP &amp; Rate Base'!O8</f>
        <v>168072.69008246972</v>
      </c>
      <c r="E23" s="93">
        <f t="shared" si="1"/>
        <v>0.0257804892276084</v>
      </c>
      <c r="F23" s="28">
        <f>+'Monthly Energy Allocators'!N102</f>
        <v>439931285.4243622</v>
      </c>
      <c r="G23" s="93">
        <f t="shared" si="1"/>
        <v>0.038047283120305746</v>
      </c>
      <c r="H23" s="28">
        <f>+'Monthly Energy Allocators'!N10</f>
        <v>415187344.9368364</v>
      </c>
      <c r="I23" s="31">
        <f>+'Monthly Fuel Cost Allocation'!N76</f>
        <v>16657483.310524063</v>
      </c>
      <c r="J23" s="31">
        <f t="shared" si="2"/>
        <v>1136039.9546497837</v>
      </c>
      <c r="K23" s="31">
        <f t="shared" si="3"/>
        <v>601442.7893407324</v>
      </c>
      <c r="L23" s="30">
        <f t="shared" si="4"/>
        <v>222279.90069103276</v>
      </c>
      <c r="M23" s="32">
        <f t="shared" si="5"/>
        <v>823722.6900317651</v>
      </c>
      <c r="N23" s="32">
        <f t="shared" si="6"/>
        <v>1959762.6446815487</v>
      </c>
      <c r="O23" s="31">
        <f t="shared" si="7"/>
        <v>1238059.1502796356</v>
      </c>
      <c r="P23" s="31">
        <f t="shared" si="8"/>
        <v>371417.74508389074</v>
      </c>
      <c r="Q23" s="30">
        <f t="shared" si="9"/>
        <v>107858.24964689997</v>
      </c>
      <c r="R23" s="32">
        <f t="shared" si="10"/>
        <v>479275.9947307907</v>
      </c>
      <c r="S23" s="32">
        <f t="shared" si="11"/>
        <v>1717335.1450104264</v>
      </c>
      <c r="T23" s="30">
        <f t="shared" si="12"/>
        <v>20334581.10021604</v>
      </c>
      <c r="U23" s="239">
        <f t="shared" si="13"/>
        <v>-60560.08882628938</v>
      </c>
      <c r="V23" s="239">
        <f t="shared" si="14"/>
        <v>-83704.02286467252</v>
      </c>
      <c r="W23" s="30">
        <f t="shared" si="15"/>
        <v>195868.9400192425</v>
      </c>
      <c r="X23" s="32">
        <f t="shared" si="16"/>
        <v>20386185.92854432</v>
      </c>
      <c r="Y23" s="30">
        <f t="shared" si="17"/>
        <v>20118976.182362188</v>
      </c>
      <c r="Z23" s="240">
        <f t="shared" si="18"/>
        <v>0.037254562977593955</v>
      </c>
      <c r="AA23" s="30">
        <f t="shared" si="19"/>
        <v>20139639.22976594</v>
      </c>
      <c r="AB23" s="34">
        <f t="shared" si="20"/>
        <v>4.8507353307769625</v>
      </c>
      <c r="AC23" s="182"/>
      <c r="AD23" s="241"/>
    </row>
    <row r="24" spans="1:30" ht="15">
      <c r="A24" s="176">
        <f>ROW()</f>
        <v>24</v>
      </c>
      <c r="B24" s="224" t="s">
        <v>14</v>
      </c>
      <c r="C24" s="27">
        <v>1.0199922607718757</v>
      </c>
      <c r="D24" s="29">
        <f>+'3CP &amp; Rate Base'!O9</f>
        <v>101706.12641754713</v>
      </c>
      <c r="E24" s="93">
        <f t="shared" si="1"/>
        <v>0.015600593381368355</v>
      </c>
      <c r="F24" s="28">
        <f>+'Monthly Energy Allocators'!N103</f>
        <v>269575793.953022</v>
      </c>
      <c r="G24" s="93">
        <f t="shared" si="1"/>
        <v>0.023314155857358923</v>
      </c>
      <c r="H24" s="28">
        <f>+'Monthly Energy Allocators'!N11</f>
        <v>255790937.18444976</v>
      </c>
      <c r="I24" s="31">
        <f>+'Monthly Fuel Cost Allocation'!N77</f>
        <v>10191416.96618056</v>
      </c>
      <c r="J24" s="31">
        <f t="shared" si="2"/>
        <v>696128.8794036545</v>
      </c>
      <c r="K24" s="31">
        <f t="shared" si="3"/>
        <v>368544.8678591967</v>
      </c>
      <c r="L24" s="30">
        <f t="shared" si="4"/>
        <v>134508.63235823208</v>
      </c>
      <c r="M24" s="32">
        <f t="shared" si="5"/>
        <v>503053.5002174288</v>
      </c>
      <c r="N24" s="32">
        <f t="shared" si="6"/>
        <v>1199182.3796210831</v>
      </c>
      <c r="O24" s="31">
        <f t="shared" si="7"/>
        <v>758642.9732440992</v>
      </c>
      <c r="P24" s="31">
        <f t="shared" si="8"/>
        <v>227592.89197322977</v>
      </c>
      <c r="Q24" s="30">
        <f t="shared" si="9"/>
        <v>65268.45478810564</v>
      </c>
      <c r="R24" s="32">
        <f t="shared" si="10"/>
        <v>292861.3467613354</v>
      </c>
      <c r="S24" s="32">
        <f t="shared" si="11"/>
        <v>1051504.3200054346</v>
      </c>
      <c r="T24" s="30">
        <f t="shared" si="12"/>
        <v>12442103.665807076</v>
      </c>
      <c r="U24" s="239">
        <f t="shared" si="13"/>
        <v>-37109.28176309334</v>
      </c>
      <c r="V24" s="239">
        <f t="shared" si="14"/>
        <v>-51291.142886189555</v>
      </c>
      <c r="W24" s="30">
        <f t="shared" si="15"/>
        <v>120022.20975371473</v>
      </c>
      <c r="X24" s="32">
        <f t="shared" si="16"/>
        <v>12473725.450911507</v>
      </c>
      <c r="Y24" s="30">
        <f t="shared" si="17"/>
        <v>12723103.422922913</v>
      </c>
      <c r="Z24" s="240">
        <f t="shared" si="18"/>
        <v>0.023559531729813444</v>
      </c>
      <c r="AA24" s="30">
        <f t="shared" si="19"/>
        <v>12736170.59327829</v>
      </c>
      <c r="AB24" s="34">
        <f t="shared" si="20"/>
        <v>4.979132854927652</v>
      </c>
      <c r="AC24" s="182"/>
      <c r="AD24" s="241"/>
    </row>
    <row r="25" spans="1:30" ht="15">
      <c r="A25" s="176">
        <f>ROW()</f>
        <v>25</v>
      </c>
      <c r="B25" s="224" t="s">
        <v>15</v>
      </c>
      <c r="C25" s="27">
        <v>1.0079264649800135</v>
      </c>
      <c r="D25" s="29">
        <f>+'3CP &amp; Rate Base'!O10</f>
        <v>186552.46315660368</v>
      </c>
      <c r="E25" s="93">
        <f t="shared" si="1"/>
        <v>0.028615081750835047</v>
      </c>
      <c r="F25" s="28">
        <f>+'Monthly Energy Allocators'!N104</f>
        <v>516191811.69093585</v>
      </c>
      <c r="G25" s="93">
        <f t="shared" si="1"/>
        <v>0.044642644554919376</v>
      </c>
      <c r="H25" s="28">
        <f>+'Monthly Energy Allocators'!N12</f>
        <v>490940739.6099757</v>
      </c>
      <c r="I25" s="31">
        <f>+'Monthly Fuel Cost Allocation'!N78</f>
        <v>19477923.85317799</v>
      </c>
      <c r="J25" s="31">
        <f t="shared" si="2"/>
        <v>1332968.447057133</v>
      </c>
      <c r="K25" s="31">
        <f t="shared" si="3"/>
        <v>705700.7613331473</v>
      </c>
      <c r="L25" s="30">
        <f t="shared" si="4"/>
        <v>246719.81488349175</v>
      </c>
      <c r="M25" s="32">
        <f t="shared" si="5"/>
        <v>952420.576216639</v>
      </c>
      <c r="N25" s="32">
        <f t="shared" si="6"/>
        <v>2285389.023273772</v>
      </c>
      <c r="O25" s="31">
        <f t="shared" si="7"/>
        <v>1452672.3080103896</v>
      </c>
      <c r="P25" s="31">
        <f t="shared" si="8"/>
        <v>435801.6924031169</v>
      </c>
      <c r="Q25" s="30">
        <f t="shared" si="9"/>
        <v>119717.38022111748</v>
      </c>
      <c r="R25" s="32">
        <f t="shared" si="10"/>
        <v>555519.0726242344</v>
      </c>
      <c r="S25" s="32">
        <f t="shared" si="11"/>
        <v>2008191.380634624</v>
      </c>
      <c r="T25" s="30">
        <f t="shared" si="12"/>
        <v>23771504.25708639</v>
      </c>
      <c r="U25" s="239">
        <f t="shared" si="13"/>
        <v>-71057.9651939325</v>
      </c>
      <c r="V25" s="239">
        <f t="shared" si="14"/>
        <v>-98213.81802082248</v>
      </c>
      <c r="W25" s="30">
        <f t="shared" si="15"/>
        <v>229822.125300746</v>
      </c>
      <c r="X25" s="32">
        <f t="shared" si="16"/>
        <v>23832054.59917238</v>
      </c>
      <c r="Y25" s="30">
        <f t="shared" si="17"/>
        <v>24020958.54535449</v>
      </c>
      <c r="Z25" s="240">
        <f t="shared" si="18"/>
        <v>0.044479913132687676</v>
      </c>
      <c r="AA25" s="30">
        <f t="shared" si="19"/>
        <v>24045629.095217824</v>
      </c>
      <c r="AB25" s="34">
        <f t="shared" si="20"/>
        <v>4.897867941112547</v>
      </c>
      <c r="AC25" s="182"/>
      <c r="AD25" s="241"/>
    </row>
    <row r="26" spans="1:30" ht="15">
      <c r="A26" s="176">
        <f>ROW()</f>
        <v>26</v>
      </c>
      <c r="B26" s="224" t="s">
        <v>16</v>
      </c>
      <c r="C26" s="27">
        <v>0.975411314071792</v>
      </c>
      <c r="D26" s="29">
        <f>+'3CP &amp; Rate Base'!O11</f>
        <v>339444.649785057</v>
      </c>
      <c r="E26" s="93">
        <f t="shared" si="1"/>
        <v>0.052067049875021414</v>
      </c>
      <c r="F26" s="28">
        <f>+'Monthly Energy Allocators'!N105</f>
        <v>964478128.2957267</v>
      </c>
      <c r="G26" s="93">
        <f t="shared" si="1"/>
        <v>0.08341250924042141</v>
      </c>
      <c r="H26" s="28">
        <f>+'Monthly Energy Allocators'!N13</f>
        <v>926623571.0008214</v>
      </c>
      <c r="I26" s="31">
        <f>+'Monthly Fuel Cost Allocation'!N79</f>
        <v>36465266.186101235</v>
      </c>
      <c r="J26" s="31">
        <f t="shared" si="2"/>
        <v>2490583.701208874</v>
      </c>
      <c r="K26" s="31">
        <f t="shared" si="3"/>
        <v>1318565.9555463556</v>
      </c>
      <c r="L26" s="30">
        <f t="shared" si="4"/>
        <v>448923.15942169004</v>
      </c>
      <c r="M26" s="32">
        <f t="shared" si="5"/>
        <v>1767489.1149680456</v>
      </c>
      <c r="N26" s="32">
        <f t="shared" si="6"/>
        <v>4258072.816176919</v>
      </c>
      <c r="O26" s="31">
        <f t="shared" si="7"/>
        <v>2714244.2730102227</v>
      </c>
      <c r="P26" s="31">
        <f t="shared" si="8"/>
        <v>814273.2819030669</v>
      </c>
      <c r="Q26" s="30">
        <f t="shared" si="9"/>
        <v>217833.75847591014</v>
      </c>
      <c r="R26" s="32">
        <f t="shared" si="10"/>
        <v>1032107.0403789771</v>
      </c>
      <c r="S26" s="32">
        <f t="shared" si="11"/>
        <v>3746351.3133892</v>
      </c>
      <c r="T26" s="30">
        <f t="shared" si="12"/>
        <v>44469690.31566735</v>
      </c>
      <c r="U26" s="239">
        <f t="shared" si="13"/>
        <v>-132768.1914330342</v>
      </c>
      <c r="V26" s="239">
        <f t="shared" si="14"/>
        <v>-183507.52032892685</v>
      </c>
      <c r="W26" s="30">
        <f t="shared" si="15"/>
        <v>429410.9442087102</v>
      </c>
      <c r="X26" s="32">
        <f t="shared" si="16"/>
        <v>44582825.548114106</v>
      </c>
      <c r="Y26" s="30">
        <f t="shared" si="17"/>
        <v>43486592.452919446</v>
      </c>
      <c r="Z26" s="240">
        <f t="shared" si="18"/>
        <v>0.0805246739463079</v>
      </c>
      <c r="AA26" s="30">
        <f t="shared" si="19"/>
        <v>43531255.03977961</v>
      </c>
      <c r="AB26" s="34">
        <f t="shared" si="20"/>
        <v>4.6978359284302105</v>
      </c>
      <c r="AC26" s="182"/>
      <c r="AD26" s="241"/>
    </row>
    <row r="27" spans="1:30" ht="15">
      <c r="A27" s="176">
        <f>ROW()</f>
        <v>27</v>
      </c>
      <c r="B27" s="224" t="s">
        <v>38</v>
      </c>
      <c r="C27" s="27">
        <v>0.90990463455193</v>
      </c>
      <c r="D27" s="29">
        <f>+'3CP &amp; Rate Base'!O17</f>
        <v>680345.5776</v>
      </c>
      <c r="E27" s="93">
        <f t="shared" si="1"/>
        <v>0.10435747667132288</v>
      </c>
      <c r="F27" s="28">
        <f>+'Monthly Energy Allocators'!N106</f>
        <v>1471365508.3948925</v>
      </c>
      <c r="G27" s="93">
        <f t="shared" si="1"/>
        <v>0.12725046371128798</v>
      </c>
      <c r="H27" s="28">
        <f>+'Monthly Energy Allocators'!N14</f>
        <v>1457706100</v>
      </c>
      <c r="I27" s="31">
        <f>+'Monthly Fuel Cost Allocation'!N80</f>
        <v>56028029.21903702</v>
      </c>
      <c r="J27" s="31">
        <f t="shared" si="2"/>
        <v>3799525.200436279</v>
      </c>
      <c r="K27" s="31">
        <f t="shared" si="3"/>
        <v>2011546.3592345899</v>
      </c>
      <c r="L27" s="30">
        <f t="shared" si="4"/>
        <v>899772.2791865076</v>
      </c>
      <c r="M27" s="32">
        <f t="shared" si="5"/>
        <v>2911318.6384210973</v>
      </c>
      <c r="N27" s="32">
        <f t="shared" si="6"/>
        <v>6710843.838857377</v>
      </c>
      <c r="O27" s="31">
        <f t="shared" si="7"/>
        <v>4140731.9538936056</v>
      </c>
      <c r="P27" s="31">
        <f t="shared" si="8"/>
        <v>1242219.5861680817</v>
      </c>
      <c r="Q27" s="30">
        <f t="shared" si="9"/>
        <v>436602.0625893398</v>
      </c>
      <c r="R27" s="32">
        <f t="shared" si="10"/>
        <v>1678821.6487574214</v>
      </c>
      <c r="S27" s="32">
        <f t="shared" si="11"/>
        <v>5819553.602651027</v>
      </c>
      <c r="T27" s="30">
        <f t="shared" si="12"/>
        <v>68558426.66054542</v>
      </c>
      <c r="U27" s="239">
        <f t="shared" si="13"/>
        <v>-202545.32659203935</v>
      </c>
      <c r="V27" s="239">
        <f t="shared" si="14"/>
        <v>-279951.0201648332</v>
      </c>
      <c r="W27" s="30">
        <f t="shared" si="15"/>
        <v>655090.4926713402</v>
      </c>
      <c r="X27" s="32">
        <f t="shared" si="16"/>
        <v>68731020.80645989</v>
      </c>
      <c r="Y27" s="30">
        <f t="shared" si="17"/>
        <v>62538674.36928298</v>
      </c>
      <c r="Z27" s="240">
        <f t="shared" si="18"/>
        <v>0.11580365530072137</v>
      </c>
      <c r="AA27" s="30">
        <f t="shared" si="19"/>
        <v>62602904.25759078</v>
      </c>
      <c r="AB27" s="34">
        <f t="shared" si="20"/>
        <v>4.294617705008628</v>
      </c>
      <c r="AC27" s="182"/>
      <c r="AD27" s="241"/>
    </row>
    <row r="28" spans="1:30" ht="15">
      <c r="A28" s="176">
        <f>ROW()</f>
        <v>28</v>
      </c>
      <c r="B28" s="224" t="s">
        <v>17</v>
      </c>
      <c r="C28" s="27">
        <v>0.9983575193075592</v>
      </c>
      <c r="D28" s="29">
        <f>+'3CP &amp; Rate Base'!O18</f>
        <v>127876.04111987856</v>
      </c>
      <c r="E28" s="93">
        <f t="shared" si="1"/>
        <v>0.019614768460852347</v>
      </c>
      <c r="F28" s="28">
        <f>+'Monthly Energy Allocators'!N107</f>
        <v>201876257.5670387</v>
      </c>
      <c r="G28" s="93">
        <f t="shared" si="1"/>
        <v>0.017459188244618402</v>
      </c>
      <c r="H28" s="28">
        <f>+'Monthly Energy Allocators'!N15</f>
        <v>193783569.32209796</v>
      </c>
      <c r="I28" s="31">
        <f>+'Monthly Fuel Cost Allocation'!N81</f>
        <v>7652041.6582353385</v>
      </c>
      <c r="J28" s="31">
        <f t="shared" si="2"/>
        <v>521307.5361760269</v>
      </c>
      <c r="K28" s="31">
        <f t="shared" si="3"/>
        <v>275990.8728374883</v>
      </c>
      <c r="L28" s="30">
        <f t="shared" si="4"/>
        <v>169118.93126088384</v>
      </c>
      <c r="M28" s="32">
        <f t="shared" si="5"/>
        <v>445109.8040983721</v>
      </c>
      <c r="N28" s="32">
        <f t="shared" si="6"/>
        <v>966417.340274399</v>
      </c>
      <c r="O28" s="31">
        <f t="shared" si="7"/>
        <v>568122.2413268273</v>
      </c>
      <c r="P28" s="31">
        <f t="shared" si="8"/>
        <v>170436.6723980482</v>
      </c>
      <c r="Q28" s="30">
        <f t="shared" si="9"/>
        <v>82062.62397655103</v>
      </c>
      <c r="R28" s="32">
        <f t="shared" si="10"/>
        <v>252499.29637459922</v>
      </c>
      <c r="S28" s="32">
        <f t="shared" si="11"/>
        <v>820621.5377014265</v>
      </c>
      <c r="T28" s="30">
        <f t="shared" si="12"/>
        <v>9439080.536211163</v>
      </c>
      <c r="U28" s="239">
        <f t="shared" si="13"/>
        <v>-27789.89468408858</v>
      </c>
      <c r="V28" s="239">
        <f t="shared" si="14"/>
        <v>-38410.21413816043</v>
      </c>
      <c r="W28" s="30">
        <f t="shared" si="15"/>
        <v>89880.60157296048</v>
      </c>
      <c r="X28" s="32">
        <f t="shared" si="16"/>
        <v>9462761.028961875</v>
      </c>
      <c r="Y28" s="30">
        <f t="shared" si="17"/>
        <v>9447218.626674624</v>
      </c>
      <c r="Z28" s="240">
        <f t="shared" si="18"/>
        <v>0.01749353436777246</v>
      </c>
      <c r="AA28" s="30">
        <f t="shared" si="19"/>
        <v>9456921.323499115</v>
      </c>
      <c r="AB28" s="34">
        <f t="shared" si="20"/>
        <v>4.880146111758456</v>
      </c>
      <c r="AC28" s="182"/>
      <c r="AD28" s="241"/>
    </row>
    <row r="29" spans="1:30" ht="19.5">
      <c r="A29" s="176">
        <f>ROW()</f>
        <v>29</v>
      </c>
      <c r="B29" s="224" t="s">
        <v>154</v>
      </c>
      <c r="C29" s="27">
        <v>1</v>
      </c>
      <c r="D29" s="35">
        <f>+'3CP &amp; Rate Base'!O19</f>
        <v>72586.47613486675</v>
      </c>
      <c r="E29" s="94">
        <f t="shared" si="1"/>
        <v>0.011133961532636693</v>
      </c>
      <c r="F29" s="92">
        <f>+'Monthly Energy Allocators'!N108</f>
        <v>125231265.53116962</v>
      </c>
      <c r="G29" s="94">
        <f t="shared" si="1"/>
        <v>0.010830576440096797</v>
      </c>
      <c r="H29" s="92">
        <f>+'Monthly Energy Allocators'!N16</f>
        <v>113949870.2844692</v>
      </c>
      <c r="I29" s="45">
        <f>+'Monthly Fuel Cost Allocation'!N82</f>
        <v>4720143.801837479</v>
      </c>
      <c r="J29" s="37">
        <f t="shared" si="2"/>
        <v>323386.23309668025</v>
      </c>
      <c r="K29" s="37">
        <f t="shared" si="3"/>
        <v>171207.28656767993</v>
      </c>
      <c r="L29" s="36">
        <f t="shared" si="4"/>
        <v>95997.24201982687</v>
      </c>
      <c r="M29" s="242">
        <f t="shared" si="5"/>
        <v>267204.5285875068</v>
      </c>
      <c r="N29" s="242">
        <f t="shared" si="6"/>
        <v>590590.7616841871</v>
      </c>
      <c r="O29" s="37">
        <f t="shared" si="7"/>
        <v>352427.1160720169</v>
      </c>
      <c r="P29" s="37">
        <f t="shared" si="8"/>
        <v>105728.13482160507</v>
      </c>
      <c r="Q29" s="36">
        <f t="shared" si="9"/>
        <v>46581.33489802332</v>
      </c>
      <c r="R29" s="242">
        <f t="shared" si="10"/>
        <v>152309.4697196284</v>
      </c>
      <c r="S29" s="242">
        <f t="shared" si="11"/>
        <v>504736.5857916453</v>
      </c>
      <c r="T29" s="44">
        <f t="shared" si="12"/>
        <v>5815471.149313311</v>
      </c>
      <c r="U29" s="243">
        <f t="shared" si="13"/>
        <v>-17239.09350316071</v>
      </c>
      <c r="V29" s="243">
        <f t="shared" si="14"/>
        <v>-23827.26816821292</v>
      </c>
      <c r="W29" s="36">
        <f t="shared" si="15"/>
        <v>55756.24205311439</v>
      </c>
      <c r="X29" s="242">
        <f t="shared" si="16"/>
        <v>5830161.029695053</v>
      </c>
      <c r="Y29" s="44">
        <f t="shared" si="17"/>
        <v>5830161.029695053</v>
      </c>
      <c r="Z29" s="244">
        <f t="shared" si="18"/>
        <v>0.010795783010106764</v>
      </c>
      <c r="AA29" s="44">
        <f t="shared" si="19"/>
        <v>5836148.853957885</v>
      </c>
      <c r="AB29" s="245">
        <f t="shared" si="20"/>
        <v>5.121680998309414</v>
      </c>
      <c r="AC29" s="182"/>
      <c r="AD29" s="241"/>
    </row>
    <row r="30" spans="1:30" ht="15">
      <c r="A30" s="176">
        <f>ROW()</f>
        <v>30</v>
      </c>
      <c r="B30" s="246" t="s">
        <v>26</v>
      </c>
      <c r="C30" s="27">
        <v>1</v>
      </c>
      <c r="D30" s="28">
        <f>SUM(D19:D29)</f>
        <v>6519375.509076073</v>
      </c>
      <c r="E30" s="93">
        <f>SUM(E19:E29)</f>
        <v>1.0000000000000002</v>
      </c>
      <c r="F30" s="28">
        <f>F19+SUM(F21:F29)</f>
        <v>11562751643.351162</v>
      </c>
      <c r="G30" s="93">
        <f>SUM(G19:G29)</f>
        <v>1</v>
      </c>
      <c r="H30" s="28">
        <f>H19+SUM(H21:H29)</f>
        <v>10867603123.206745</v>
      </c>
      <c r="I30" s="31">
        <f>I19+SUM(I21:I29)</f>
        <v>438464737.71404856</v>
      </c>
      <c r="J30" s="31">
        <f>+N30*J32</f>
        <v>29858635.400000002</v>
      </c>
      <c r="K30" s="31">
        <f>+M30*K32</f>
        <v>15807772.329997035</v>
      </c>
      <c r="L30" s="30">
        <f>+M30*L32</f>
        <v>8622020.270002967</v>
      </c>
      <c r="M30" s="32">
        <f>+N30*M32</f>
        <v>24429792.6</v>
      </c>
      <c r="N30" s="32">
        <f>+N40-N37</f>
        <v>54288428</v>
      </c>
      <c r="O30" s="31">
        <f>+S30*O32</f>
        <v>32540014.653999995</v>
      </c>
      <c r="P30" s="31">
        <f>+R30*P32</f>
        <v>9762004.3962</v>
      </c>
      <c r="Q30" s="30">
        <f>+R30*Q32</f>
        <v>4183716.1698</v>
      </c>
      <c r="R30" s="32">
        <f>+S30*R32</f>
        <v>13945720.566</v>
      </c>
      <c r="S30" s="32">
        <f>+S40-S37</f>
        <v>46485735.22</v>
      </c>
      <c r="T30" s="30">
        <f>T19+SUM(T21:T29)</f>
        <v>539238900.9340485</v>
      </c>
      <c r="U30" s="239">
        <f>-'Data Inputs - 2011'!O5</f>
        <v>-1591706</v>
      </c>
      <c r="V30" s="239">
        <f>+'Data Inputs - 2011'!O7</f>
        <v>-2199999.9999999967</v>
      </c>
      <c r="W30" s="30">
        <f>+'Data Inputs - 2011'!O8</f>
        <v>5148040.1215483295</v>
      </c>
      <c r="X30" s="32">
        <f>X19+SUM(X21:X29)</f>
        <v>540595235.0555968</v>
      </c>
      <c r="Y30" s="30">
        <f>SUM(Y19:Y29)</f>
        <v>540040590.3154027</v>
      </c>
      <c r="Z30" s="240">
        <f>SUM(Z19:Z29)</f>
        <v>0.9999999999999999</v>
      </c>
      <c r="AA30" s="30">
        <f>SUM(AA19:AA29)</f>
        <v>540595235.0555968</v>
      </c>
      <c r="AB30" s="34">
        <f t="shared" si="20"/>
        <v>4.9743741000368935</v>
      </c>
      <c r="AC30" s="182"/>
      <c r="AD30" s="241"/>
    </row>
    <row r="31" spans="1:29" ht="15">
      <c r="A31" s="176">
        <f>ROW()</f>
        <v>31</v>
      </c>
      <c r="B31" s="188"/>
      <c r="C31" s="95"/>
      <c r="D31" s="95"/>
      <c r="E31" s="1"/>
      <c r="F31" s="28"/>
      <c r="G31" s="28"/>
      <c r="H31" s="28"/>
      <c r="I31" s="31"/>
      <c r="J31" s="31"/>
      <c r="K31" s="6"/>
      <c r="L31" s="1"/>
      <c r="M31" s="4"/>
      <c r="N31" s="247"/>
      <c r="O31" s="31"/>
      <c r="P31" s="6"/>
      <c r="Q31" s="1"/>
      <c r="R31" s="4"/>
      <c r="S31" s="247"/>
      <c r="T31" s="33"/>
      <c r="U31" s="33"/>
      <c r="V31" s="33"/>
      <c r="W31" s="33"/>
      <c r="X31" s="32"/>
      <c r="Y31" s="30"/>
      <c r="Z31" s="1"/>
      <c r="AA31" s="1"/>
      <c r="AB31" s="34"/>
      <c r="AC31" s="182"/>
    </row>
    <row r="32" spans="1:29" ht="15">
      <c r="A32" s="176">
        <f>ROW()</f>
        <v>32</v>
      </c>
      <c r="B32" s="188" t="s">
        <v>148</v>
      </c>
      <c r="C32" s="95"/>
      <c r="D32" s="95"/>
      <c r="E32" s="1"/>
      <c r="F32" s="28"/>
      <c r="G32" s="28"/>
      <c r="H32" s="28"/>
      <c r="I32" s="31"/>
      <c r="J32" s="248">
        <v>0.55</v>
      </c>
      <c r="K32" s="249">
        <f>+'3CP &amp; Rate Base'!J56</f>
        <v>0.6470694446254543</v>
      </c>
      <c r="L32" s="250">
        <f>+'3CP &amp; Rate Base'!I56</f>
        <v>0.3529305553745457</v>
      </c>
      <c r="M32" s="251">
        <v>0.45</v>
      </c>
      <c r="N32" s="247"/>
      <c r="O32" s="248">
        <v>0.7</v>
      </c>
      <c r="P32" s="249">
        <f>1-Q32</f>
        <v>0.7</v>
      </c>
      <c r="Q32" s="250">
        <f>513.3/1711</f>
        <v>0.3</v>
      </c>
      <c r="R32" s="251">
        <v>0.3</v>
      </c>
      <c r="S32" s="247"/>
      <c r="T32" s="33"/>
      <c r="U32" s="30"/>
      <c r="V32" s="30"/>
      <c r="W32" s="30"/>
      <c r="X32" s="32"/>
      <c r="Y32" s="30"/>
      <c r="Z32" s="1"/>
      <c r="AA32" s="1"/>
      <c r="AB32" s="34"/>
      <c r="AC32" s="182"/>
    </row>
    <row r="33" spans="2:29" ht="15">
      <c r="B33" s="188"/>
      <c r="C33" s="95"/>
      <c r="D33" s="95"/>
      <c r="E33" s="1"/>
      <c r="F33" s="28"/>
      <c r="G33" s="28"/>
      <c r="H33" s="28"/>
      <c r="I33" s="31"/>
      <c r="J33" s="248"/>
      <c r="K33" s="252"/>
      <c r="L33" s="252"/>
      <c r="M33" s="253"/>
      <c r="N33" s="247"/>
      <c r="O33" s="248"/>
      <c r="P33" s="252"/>
      <c r="Q33" s="252"/>
      <c r="R33" s="252"/>
      <c r="S33" s="247"/>
      <c r="T33" s="33"/>
      <c r="U33" s="30"/>
      <c r="V33" s="30"/>
      <c r="W33" s="30"/>
      <c r="X33" s="32"/>
      <c r="Y33" s="30"/>
      <c r="Z33" s="1"/>
      <c r="AA33" s="1"/>
      <c r="AB33" s="34"/>
      <c r="AC33" s="182"/>
    </row>
    <row r="34" spans="1:29" ht="15">
      <c r="A34" s="176">
        <f>ROW()</f>
        <v>34</v>
      </c>
      <c r="B34" s="188" t="s">
        <v>74</v>
      </c>
      <c r="C34" s="95"/>
      <c r="D34" s="95"/>
      <c r="E34" s="1"/>
      <c r="F34" s="28"/>
      <c r="G34" s="28"/>
      <c r="H34" s="28"/>
      <c r="I34" s="31"/>
      <c r="J34" s="6"/>
      <c r="K34" s="30"/>
      <c r="L34" s="30"/>
      <c r="M34" s="33"/>
      <c r="N34" s="247"/>
      <c r="O34" s="6"/>
      <c r="P34" s="30"/>
      <c r="Q34" s="30"/>
      <c r="R34" s="33"/>
      <c r="S34" s="247"/>
      <c r="T34" s="33"/>
      <c r="U34" s="33"/>
      <c r="V34" s="33"/>
      <c r="W34" s="33"/>
      <c r="X34" s="32"/>
      <c r="Y34" s="30"/>
      <c r="Z34" s="1"/>
      <c r="AA34" s="1"/>
      <c r="AB34" s="34"/>
      <c r="AC34" s="182"/>
    </row>
    <row r="35" spans="1:29" ht="15">
      <c r="A35" s="176">
        <f>ROW()</f>
        <v>35</v>
      </c>
      <c r="B35" s="188" t="s">
        <v>124</v>
      </c>
      <c r="C35" s="27">
        <v>1</v>
      </c>
      <c r="D35" s="96">
        <f>+'3CP &amp; Rate Base'!O16</f>
        <v>42856.8</v>
      </c>
      <c r="E35" s="97">
        <f>D35/D$40</f>
        <v>0.006573758474310322</v>
      </c>
      <c r="F35" s="28">
        <f>'Monthly Energy Allocators'!N113</f>
        <v>181372287.98480338</v>
      </c>
      <c r="G35" s="26">
        <f>F35/F$40</f>
        <v>0.01568591054959625</v>
      </c>
      <c r="H35" s="28">
        <f>'Monthly Energy Allocators'!N21</f>
        <v>178878000</v>
      </c>
      <c r="I35" s="31">
        <f>+'Monthly Fuel Cost Allocation'!N39</f>
        <v>10242554.280000003</v>
      </c>
      <c r="J35" s="254">
        <f>'Monthly Fuel Cost Allocation'!N41</f>
        <v>0</v>
      </c>
      <c r="K35" s="33">
        <f>'Monthly Fuel Cost Allocation'!N42</f>
        <v>0</v>
      </c>
      <c r="L35" s="33">
        <f>'Monthly Fuel Cost Allocation'!N43</f>
        <v>0</v>
      </c>
      <c r="M35" s="33">
        <f>K35+L35</f>
        <v>0</v>
      </c>
      <c r="N35" s="32">
        <f>J35+M35</f>
        <v>0</v>
      </c>
      <c r="O35" s="254">
        <f>'Monthly Fuel Cost Allocation'!N46</f>
        <v>0</v>
      </c>
      <c r="P35" s="33">
        <f>'Monthly Fuel Cost Allocation'!N47</f>
        <v>0</v>
      </c>
      <c r="Q35" s="33">
        <f>'Monthly Fuel Cost Allocation'!N48</f>
        <v>0</v>
      </c>
      <c r="R35" s="33">
        <f>P35+Q35</f>
        <v>0</v>
      </c>
      <c r="S35" s="32">
        <f>O35+R35</f>
        <v>0</v>
      </c>
      <c r="T35" s="30">
        <f>+I35+N35+S35</f>
        <v>10242554.280000003</v>
      </c>
      <c r="U35" s="33">
        <v>0</v>
      </c>
      <c r="V35" s="33"/>
      <c r="W35" s="33"/>
      <c r="X35" s="32">
        <f>+T35+U35</f>
        <v>10242554.280000003</v>
      </c>
      <c r="Y35" s="30" t="s">
        <v>28</v>
      </c>
      <c r="Z35" s="255" t="s">
        <v>28</v>
      </c>
      <c r="AA35" s="33">
        <f>+X35</f>
        <v>10242554.280000003</v>
      </c>
      <c r="AB35" s="34"/>
      <c r="AC35" s="182"/>
    </row>
    <row r="36" spans="1:29" ht="15">
      <c r="A36" s="176">
        <f>ROW()</f>
        <v>36</v>
      </c>
      <c r="B36" s="188" t="s">
        <v>157</v>
      </c>
      <c r="C36" s="27">
        <v>1</v>
      </c>
      <c r="D36" s="98">
        <v>0</v>
      </c>
      <c r="E36" s="99">
        <f>D36/D$40</f>
        <v>0</v>
      </c>
      <c r="F36" s="92">
        <f>'Monthly Energy Allocators'!N114</f>
        <v>0</v>
      </c>
      <c r="G36" s="26">
        <f>F36/F$40</f>
        <v>0</v>
      </c>
      <c r="H36" s="92">
        <f>'Monthly Energy Allocators'!N22</f>
        <v>0</v>
      </c>
      <c r="I36" s="45">
        <f>+'Monthly Fuel Cost Allocation'!N54</f>
        <v>0</v>
      </c>
      <c r="J36" s="256">
        <f>'Monthly Fuel Cost Allocation'!N56</f>
        <v>0</v>
      </c>
      <c r="K36" s="40">
        <f>'Monthly Fuel Cost Allocation'!N57</f>
        <v>0</v>
      </c>
      <c r="L36" s="40">
        <f>'Monthly Fuel Cost Allocation'!N58</f>
        <v>0</v>
      </c>
      <c r="M36" s="40">
        <f>K36+L36</f>
        <v>0</v>
      </c>
      <c r="N36" s="38">
        <f>J36+M36</f>
        <v>0</v>
      </c>
      <c r="O36" s="256">
        <f>'Monthly Fuel Cost Allocation'!N61</f>
        <v>0</v>
      </c>
      <c r="P36" s="40">
        <f>'Monthly Fuel Cost Allocation'!N62</f>
        <v>0</v>
      </c>
      <c r="Q36" s="40">
        <f>'Monthly Fuel Cost Allocation'!N63</f>
        <v>0</v>
      </c>
      <c r="R36" s="40">
        <f>P36+Q36</f>
        <v>0</v>
      </c>
      <c r="S36" s="38">
        <f>O36+R36</f>
        <v>0</v>
      </c>
      <c r="T36" s="44">
        <f>+I36+N36+S36</f>
        <v>0</v>
      </c>
      <c r="U36" s="40">
        <v>0</v>
      </c>
      <c r="V36" s="40"/>
      <c r="W36" s="40"/>
      <c r="X36" s="38">
        <f>+T36+U36</f>
        <v>0</v>
      </c>
      <c r="Y36" s="30"/>
      <c r="Z36" s="255"/>
      <c r="AA36" s="40">
        <f>+X36</f>
        <v>0</v>
      </c>
      <c r="AB36" s="257"/>
      <c r="AC36" s="182"/>
    </row>
    <row r="37" spans="1:30" ht="15">
      <c r="A37" s="176">
        <f>ROW()</f>
        <v>37</v>
      </c>
      <c r="B37" s="188" t="s">
        <v>106</v>
      </c>
      <c r="C37" s="27"/>
      <c r="D37" s="96">
        <f>SUM(D35:D36)</f>
        <v>42856.8</v>
      </c>
      <c r="E37" s="26"/>
      <c r="F37" s="28">
        <f>+F35+F36</f>
        <v>181372287.98480338</v>
      </c>
      <c r="G37" s="28"/>
      <c r="H37" s="28">
        <f aca="true" t="shared" si="21" ref="H37:U37">+H35+H36</f>
        <v>178878000</v>
      </c>
      <c r="I37" s="31">
        <f t="shared" si="21"/>
        <v>10242554.280000003</v>
      </c>
      <c r="J37" s="254">
        <f t="shared" si="21"/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2">
        <f t="shared" si="21"/>
        <v>0</v>
      </c>
      <c r="O37" s="254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2">
        <f t="shared" si="21"/>
        <v>0</v>
      </c>
      <c r="T37" s="30">
        <f t="shared" si="21"/>
        <v>10242554.280000003</v>
      </c>
      <c r="U37" s="33">
        <f t="shared" si="21"/>
        <v>0</v>
      </c>
      <c r="V37" s="33"/>
      <c r="W37" s="33"/>
      <c r="X37" s="32">
        <f>+X35+X36</f>
        <v>10242554.280000003</v>
      </c>
      <c r="Y37" s="30"/>
      <c r="Z37" s="255"/>
      <c r="AA37" s="33">
        <f>+X37</f>
        <v>10242554.280000003</v>
      </c>
      <c r="AB37" s="34">
        <f>+AA37/H37*100</f>
        <v>5.726000000000002</v>
      </c>
      <c r="AC37" s="182"/>
      <c r="AD37" s="220"/>
    </row>
    <row r="38" spans="1:29" ht="15">
      <c r="A38" s="176">
        <f>ROW()</f>
        <v>38</v>
      </c>
      <c r="B38" s="188"/>
      <c r="C38" s="27"/>
      <c r="D38" s="96"/>
      <c r="E38" s="26"/>
      <c r="F38" s="28"/>
      <c r="G38" s="28"/>
      <c r="H38" s="28"/>
      <c r="I38" s="31"/>
      <c r="J38" s="254"/>
      <c r="K38" s="33"/>
      <c r="L38" s="33"/>
      <c r="M38" s="33"/>
      <c r="N38" s="32"/>
      <c r="O38" s="254"/>
      <c r="P38" s="33"/>
      <c r="Q38" s="33"/>
      <c r="R38" s="33"/>
      <c r="S38" s="32"/>
      <c r="T38" s="30"/>
      <c r="U38" s="33"/>
      <c r="V38" s="33"/>
      <c r="W38" s="33"/>
      <c r="X38" s="32"/>
      <c r="Y38" s="30"/>
      <c r="Z38" s="255"/>
      <c r="AA38" s="33"/>
      <c r="AB38" s="34"/>
      <c r="AC38" s="182"/>
    </row>
    <row r="39" spans="1:29" ht="10.5" customHeight="1">
      <c r="A39" s="176">
        <f>ROW()</f>
        <v>39</v>
      </c>
      <c r="B39" s="188"/>
      <c r="C39" s="95"/>
      <c r="D39" s="96"/>
      <c r="E39" s="1"/>
      <c r="F39" s="28"/>
      <c r="G39" s="28"/>
      <c r="H39" s="28"/>
      <c r="I39" s="258"/>
      <c r="J39" s="259"/>
      <c r="K39" s="192"/>
      <c r="L39" s="192"/>
      <c r="M39" s="192"/>
      <c r="N39" s="166"/>
      <c r="O39" s="259"/>
      <c r="P39" s="192"/>
      <c r="Q39" s="192"/>
      <c r="R39" s="192"/>
      <c r="S39" s="166"/>
      <c r="T39" s="192"/>
      <c r="U39" s="192"/>
      <c r="V39" s="192"/>
      <c r="W39" s="192"/>
      <c r="X39" s="260"/>
      <c r="Y39" s="261"/>
      <c r="Z39" s="192"/>
      <c r="AA39" s="192"/>
      <c r="AB39" s="34"/>
      <c r="AC39" s="182"/>
    </row>
    <row r="40" spans="1:30" ht="47.25" customHeight="1">
      <c r="A40" s="176">
        <f>ROW()</f>
        <v>40</v>
      </c>
      <c r="B40" s="202" t="s">
        <v>243</v>
      </c>
      <c r="C40" s="262"/>
      <c r="D40" s="100">
        <f>D30+D37*'Monthly Fuel Cost Allocation'!$A$2</f>
        <v>6519375.509076073</v>
      </c>
      <c r="E40" s="2"/>
      <c r="F40" s="101">
        <f>+F30+F37*'Monthly Fuel Cost Allocation'!$A$2</f>
        <v>11562751643.351162</v>
      </c>
      <c r="G40" s="101"/>
      <c r="H40" s="101">
        <f>+H30+H37*'Monthly Fuel Cost Allocation'!$A$2</f>
        <v>10867603123.206745</v>
      </c>
      <c r="I40" s="263">
        <f>+I30+I37*'Monthly Fuel Cost Allocation'!$A$2</f>
        <v>438464737.71404856</v>
      </c>
      <c r="J40" s="264">
        <f>+J30+J37*'Monthly Fuel Cost Allocation'!$A$2</f>
        <v>29858635.400000002</v>
      </c>
      <c r="K40" s="265">
        <f>+K30+K37*'Monthly Fuel Cost Allocation'!$A$2</f>
        <v>15807772.329997035</v>
      </c>
      <c r="L40" s="265">
        <f>+L30+L37*'Monthly Fuel Cost Allocation'!$A$2</f>
        <v>8622020.270002967</v>
      </c>
      <c r="M40" s="265">
        <f>+M30+M37*'Monthly Fuel Cost Allocation'!$A$2</f>
        <v>24429792.6</v>
      </c>
      <c r="N40" s="265">
        <f>N52-N46</f>
        <v>54288428</v>
      </c>
      <c r="O40" s="264">
        <f>+O30+O37*'Monthly Fuel Cost Allocation'!$A$2</f>
        <v>32540014.653999995</v>
      </c>
      <c r="P40" s="265">
        <f>+P30+P37*'Monthly Fuel Cost Allocation'!$A$2</f>
        <v>9762004.3962</v>
      </c>
      <c r="Q40" s="265">
        <f>+Q30+Q37*'Monthly Fuel Cost Allocation'!$A$2</f>
        <v>4183716.1698</v>
      </c>
      <c r="R40" s="265">
        <f>+R30+R37*'Monthly Fuel Cost Allocation'!$A$2</f>
        <v>13945720.566</v>
      </c>
      <c r="S40" s="265">
        <f>+S52-S46</f>
        <v>46485735.22</v>
      </c>
      <c r="T40" s="266">
        <f>+T30+T37*'Monthly Fuel Cost Allocation'!$A$2</f>
        <v>539238900.9340485</v>
      </c>
      <c r="U40" s="267">
        <f>+U30+U37*'Monthly Fuel Cost Allocation'!$A$2</f>
        <v>-1591706</v>
      </c>
      <c r="V40" s="267">
        <f>+V30+V37*'Monthly Fuel Cost Allocation'!$A$2</f>
        <v>-2199999.9999999967</v>
      </c>
      <c r="W40" s="268">
        <f>+W30+W37*'Monthly Fuel Cost Allocation'!$A$2</f>
        <v>5148040.1215483295</v>
      </c>
      <c r="X40" s="269">
        <f>+X30+X37*'Monthly Fuel Cost Allocation'!$A$2</f>
        <v>540595235.0555968</v>
      </c>
      <c r="Y40" s="204"/>
      <c r="Z40" s="268"/>
      <c r="AA40" s="268">
        <f>+AA30+AA37*'Monthly Fuel Cost Allocation'!$A$2</f>
        <v>540595235.0555968</v>
      </c>
      <c r="AB40" s="270">
        <f>+AA40/H40*100</f>
        <v>4.9743741000368935</v>
      </c>
      <c r="AC40" s="182"/>
      <c r="AD40" s="220"/>
    </row>
    <row r="41" spans="1:29" ht="15">
      <c r="A41" s="176">
        <f>ROW()</f>
        <v>41</v>
      </c>
      <c r="B41" s="178"/>
      <c r="C41" s="262"/>
      <c r="D41" s="102"/>
      <c r="E41" s="2"/>
      <c r="F41" s="101"/>
      <c r="G41" s="103"/>
      <c r="H41" s="103"/>
      <c r="I41" s="51"/>
      <c r="J41" s="271"/>
      <c r="K41" s="51"/>
      <c r="L41" s="51"/>
      <c r="M41" s="51"/>
      <c r="N41" s="272"/>
      <c r="O41" s="271"/>
      <c r="P41" s="51"/>
      <c r="Q41" s="51"/>
      <c r="R41" s="51"/>
      <c r="S41" s="272"/>
      <c r="T41" s="51"/>
      <c r="U41" s="51"/>
      <c r="V41" s="51"/>
      <c r="W41" s="51"/>
      <c r="X41" s="272"/>
      <c r="Y41" s="51"/>
      <c r="Z41" s="273"/>
      <c r="AA41" s="33"/>
      <c r="AB41" s="274"/>
      <c r="AC41" s="182"/>
    </row>
    <row r="42" spans="1:29" ht="12" customHeight="1">
      <c r="A42" s="176">
        <f>ROW()</f>
        <v>42</v>
      </c>
      <c r="B42" s="178" t="s">
        <v>149</v>
      </c>
      <c r="C42" s="95"/>
      <c r="D42" s="96"/>
      <c r="E42" s="1"/>
      <c r="F42" s="28"/>
      <c r="G42" s="29"/>
      <c r="H42" s="29"/>
      <c r="I42" s="30"/>
      <c r="J42" s="31"/>
      <c r="K42" s="30"/>
      <c r="L42" s="30"/>
      <c r="M42" s="30"/>
      <c r="N42" s="32"/>
      <c r="O42" s="31"/>
      <c r="P42" s="30"/>
      <c r="Q42" s="30"/>
      <c r="R42" s="30"/>
      <c r="S42" s="32"/>
      <c r="T42" s="30"/>
      <c r="U42" s="30"/>
      <c r="V42" s="30"/>
      <c r="W42" s="30"/>
      <c r="X42" s="32"/>
      <c r="Y42" s="30"/>
      <c r="Z42" s="1"/>
      <c r="AA42" s="33"/>
      <c r="AB42" s="41"/>
      <c r="AC42" s="182"/>
    </row>
    <row r="43" spans="1:29" ht="15">
      <c r="A43" s="176">
        <f>ROW()</f>
        <v>43</v>
      </c>
      <c r="B43" s="188" t="s">
        <v>125</v>
      </c>
      <c r="C43" s="27">
        <v>1</v>
      </c>
      <c r="D43" s="96">
        <f>+'3CP &amp; Rate Base'!O14</f>
        <v>1575.909553872772</v>
      </c>
      <c r="E43" s="26"/>
      <c r="F43" s="28">
        <f>+'Monthly Energy Allocators'!N115</f>
        <v>9549691.419169957</v>
      </c>
      <c r="G43" s="29"/>
      <c r="H43" s="29">
        <f>+'Monthly Energy Allocators'!N23</f>
        <v>9325359.06</v>
      </c>
      <c r="I43" s="30">
        <f>+'Monthly Fuel Cost Allocation'!N19</f>
        <v>482304.6622890271</v>
      </c>
      <c r="J43" s="31"/>
      <c r="K43" s="30"/>
      <c r="L43" s="30"/>
      <c r="M43" s="30"/>
      <c r="N43" s="32">
        <f>+J43+K43+L43</f>
        <v>0</v>
      </c>
      <c r="O43" s="31"/>
      <c r="P43" s="30"/>
      <c r="Q43" s="30"/>
      <c r="R43" s="30"/>
      <c r="S43" s="32">
        <f>+O43+P43+Q43</f>
        <v>0</v>
      </c>
      <c r="T43" s="30">
        <f>+I43+N43+S43</f>
        <v>482304.6622890271</v>
      </c>
      <c r="U43" s="30">
        <v>0</v>
      </c>
      <c r="V43" s="30"/>
      <c r="W43" s="30"/>
      <c r="X43" s="32">
        <f>+T43+U43</f>
        <v>482304.6622890271</v>
      </c>
      <c r="Y43" s="30"/>
      <c r="Z43" s="1"/>
      <c r="AA43" s="33">
        <f>+X43</f>
        <v>482304.6622890271</v>
      </c>
      <c r="AB43" s="34"/>
      <c r="AC43" s="182"/>
    </row>
    <row r="44" spans="1:29" ht="15">
      <c r="A44" s="176">
        <f>ROW()</f>
        <v>44</v>
      </c>
      <c r="B44" s="188" t="s">
        <v>127</v>
      </c>
      <c r="C44" s="27">
        <v>1</v>
      </c>
      <c r="D44" s="96">
        <f>+'3CP &amp; Rate Base'!O15</f>
        <v>85713.6</v>
      </c>
      <c r="E44" s="26"/>
      <c r="F44" s="28">
        <f>+'Monthly Energy Allocators'!N116</f>
        <v>191599833.88950756</v>
      </c>
      <c r="G44" s="29"/>
      <c r="H44" s="29">
        <f>+'Monthly Energy Allocators'!N24</f>
        <v>189000000</v>
      </c>
      <c r="I44" s="30">
        <f>+'Monthly Fuel Cost Allocation'!N22</f>
        <v>111583.14514352845</v>
      </c>
      <c r="J44" s="31"/>
      <c r="K44" s="30"/>
      <c r="L44" s="30"/>
      <c r="M44" s="30"/>
      <c r="N44" s="32">
        <v>0</v>
      </c>
      <c r="O44" s="31"/>
      <c r="P44" s="30"/>
      <c r="Q44" s="30"/>
      <c r="R44" s="30"/>
      <c r="S44" s="32">
        <v>0</v>
      </c>
      <c r="T44" s="30">
        <f>+I44+N44+S44</f>
        <v>111583.14514352845</v>
      </c>
      <c r="U44" s="30">
        <v>0</v>
      </c>
      <c r="V44" s="30"/>
      <c r="W44" s="30"/>
      <c r="X44" s="32">
        <f>+T44+U44</f>
        <v>111583.14514352845</v>
      </c>
      <c r="Y44" s="30"/>
      <c r="Z44" s="1"/>
      <c r="AA44" s="33">
        <f>+X44</f>
        <v>111583.14514352845</v>
      </c>
      <c r="AB44" s="34"/>
      <c r="AC44" s="182"/>
    </row>
    <row r="45" spans="1:29" ht="15">
      <c r="A45" s="176">
        <f>ROW()</f>
        <v>45</v>
      </c>
      <c r="B45" s="224" t="s">
        <v>126</v>
      </c>
      <c r="C45" s="27"/>
      <c r="D45" s="98">
        <v>0</v>
      </c>
      <c r="E45" s="26"/>
      <c r="F45" s="92">
        <f>+'Monthly Energy Allocators'!N117</f>
        <v>55530810.09973515</v>
      </c>
      <c r="G45" s="35"/>
      <c r="H45" s="92">
        <f>+'Monthly Energy Allocators'!N25</f>
        <v>56571504</v>
      </c>
      <c r="I45" s="36">
        <f>+'Monthly Fuel Cost Allocation'!N26+'Monthly Fuel Cost Allocation'!N27</f>
        <v>2249761.710851238</v>
      </c>
      <c r="J45" s="37"/>
      <c r="K45" s="36"/>
      <c r="L45" s="36"/>
      <c r="M45" s="36"/>
      <c r="N45" s="32">
        <v>0</v>
      </c>
      <c r="O45" s="37"/>
      <c r="P45" s="36"/>
      <c r="Q45" s="36"/>
      <c r="R45" s="36"/>
      <c r="S45" s="32">
        <v>0</v>
      </c>
      <c r="T45" s="36">
        <f>+I45+N45+S45</f>
        <v>2249761.710851238</v>
      </c>
      <c r="U45" s="36">
        <v>0</v>
      </c>
      <c r="V45" s="36"/>
      <c r="W45" s="36"/>
      <c r="X45" s="38">
        <f>+T45+U45</f>
        <v>2249761.710851238</v>
      </c>
      <c r="Y45" s="36"/>
      <c r="Z45" s="39"/>
      <c r="AA45" s="40">
        <f>+X45</f>
        <v>2249761.710851238</v>
      </c>
      <c r="AB45" s="34"/>
      <c r="AC45" s="182"/>
    </row>
    <row r="46" spans="1:29" ht="15">
      <c r="A46" s="176">
        <f>ROW()</f>
        <v>46</v>
      </c>
      <c r="B46" s="223" t="s">
        <v>151</v>
      </c>
      <c r="C46" s="27"/>
      <c r="D46" s="96">
        <f>SUM(D43:D45)</f>
        <v>87289.50955387278</v>
      </c>
      <c r="E46" s="26"/>
      <c r="F46" s="28">
        <f>SUM(F43:F45)</f>
        <v>256680335.40841267</v>
      </c>
      <c r="G46" s="28"/>
      <c r="H46" s="28">
        <f>SUM(H43:H45)</f>
        <v>254896863.06</v>
      </c>
      <c r="I46" s="30">
        <f>SUM(I43:I45)</f>
        <v>2843649.5182837937</v>
      </c>
      <c r="J46" s="31">
        <f>SUM(J43:J45)</f>
        <v>0</v>
      </c>
      <c r="K46" s="30">
        <f>SUM(K43:K45)</f>
        <v>0</v>
      </c>
      <c r="L46" s="30">
        <f>SUM(L43:L45)</f>
        <v>0</v>
      </c>
      <c r="M46" s="30"/>
      <c r="N46" s="32">
        <f>SUM(N43:N45)</f>
        <v>0</v>
      </c>
      <c r="O46" s="31">
        <f>SUM(O43:O45)</f>
        <v>0</v>
      </c>
      <c r="P46" s="30">
        <f>SUM(P43:P45)</f>
        <v>0</v>
      </c>
      <c r="Q46" s="30">
        <f>SUM(Q43:Q45)</f>
        <v>0</v>
      </c>
      <c r="R46" s="30"/>
      <c r="S46" s="32">
        <f>SUM(S43:S45)</f>
        <v>0</v>
      </c>
      <c r="T46" s="30">
        <f>SUM(T43:T45)</f>
        <v>2843649.5182837937</v>
      </c>
      <c r="U46" s="30">
        <f>SUM(U43:U45)</f>
        <v>0</v>
      </c>
      <c r="V46" s="30"/>
      <c r="W46" s="30"/>
      <c r="X46" s="32">
        <f>SUM(X43:X45)</f>
        <v>2843649.5182837937</v>
      </c>
      <c r="Y46" s="30"/>
      <c r="Z46" s="1"/>
      <c r="AA46" s="33">
        <f>+X46</f>
        <v>2843649.5182837937</v>
      </c>
      <c r="AB46" s="34"/>
      <c r="AC46" s="182"/>
    </row>
    <row r="47" spans="1:29" ht="10.5" customHeight="1">
      <c r="A47" s="176">
        <f>ROW()</f>
        <v>47</v>
      </c>
      <c r="B47" s="223"/>
      <c r="C47" s="27"/>
      <c r="D47" s="96"/>
      <c r="E47" s="26"/>
      <c r="F47" s="28"/>
      <c r="G47" s="29"/>
      <c r="H47" s="29"/>
      <c r="I47" s="30"/>
      <c r="J47" s="31"/>
      <c r="K47" s="30"/>
      <c r="L47" s="30"/>
      <c r="M47" s="30"/>
      <c r="N47" s="32"/>
      <c r="O47" s="31"/>
      <c r="P47" s="30"/>
      <c r="Q47" s="30"/>
      <c r="R47" s="30"/>
      <c r="S47" s="32"/>
      <c r="T47" s="30"/>
      <c r="U47" s="30"/>
      <c r="V47" s="30"/>
      <c r="W47" s="30"/>
      <c r="X47" s="32"/>
      <c r="Y47" s="30"/>
      <c r="Z47" s="1"/>
      <c r="AA47" s="33"/>
      <c r="AB47" s="41"/>
      <c r="AC47" s="182"/>
    </row>
    <row r="48" spans="1:29" ht="12.75">
      <c r="A48" s="176">
        <f>ROW()</f>
        <v>48</v>
      </c>
      <c r="B48" s="188" t="s">
        <v>97</v>
      </c>
      <c r="C48" s="27">
        <v>1</v>
      </c>
      <c r="D48" s="96">
        <v>0</v>
      </c>
      <c r="E48" s="26"/>
      <c r="F48" s="28">
        <f>+'Monthly Energy Allocators'!N122</f>
        <v>26486000</v>
      </c>
      <c r="G48" s="29"/>
      <c r="H48" s="29">
        <f>+'Monthly Energy Allocators'!N30</f>
        <v>25644000</v>
      </c>
      <c r="I48" s="30"/>
      <c r="J48" s="31"/>
      <c r="K48" s="30"/>
      <c r="L48" s="30"/>
      <c r="M48" s="30"/>
      <c r="N48" s="32"/>
      <c r="O48" s="31"/>
      <c r="P48" s="30"/>
      <c r="Q48" s="30"/>
      <c r="R48" s="30"/>
      <c r="S48" s="32"/>
      <c r="T48" s="30"/>
      <c r="U48" s="30"/>
      <c r="V48" s="30"/>
      <c r="W48" s="30"/>
      <c r="X48" s="32"/>
      <c r="Y48" s="30"/>
      <c r="Z48" s="42"/>
      <c r="AA48" s="43"/>
      <c r="AB48" s="41"/>
      <c r="AC48" s="182"/>
    </row>
    <row r="49" spans="1:29" ht="12" customHeight="1">
      <c r="A49" s="176">
        <f>ROW()</f>
        <v>49</v>
      </c>
      <c r="B49" s="188"/>
      <c r="C49" s="27"/>
      <c r="D49" s="96"/>
      <c r="E49" s="26"/>
      <c r="F49" s="92"/>
      <c r="G49" s="35"/>
      <c r="H49" s="35"/>
      <c r="I49" s="44"/>
      <c r="J49" s="45"/>
      <c r="K49" s="44"/>
      <c r="L49" s="44"/>
      <c r="M49" s="44"/>
      <c r="N49" s="38"/>
      <c r="O49" s="45"/>
      <c r="P49" s="44"/>
      <c r="Q49" s="44"/>
      <c r="R49" s="44"/>
      <c r="S49" s="38"/>
      <c r="T49" s="44"/>
      <c r="U49" s="44"/>
      <c r="V49" s="44"/>
      <c r="W49" s="44"/>
      <c r="X49" s="38"/>
      <c r="Y49" s="30"/>
      <c r="Z49" s="1"/>
      <c r="AA49" s="33"/>
      <c r="AB49" s="41"/>
      <c r="AC49" s="182"/>
    </row>
    <row r="50" spans="1:29" ht="12.75">
      <c r="A50" s="176">
        <f>ROW()</f>
        <v>50</v>
      </c>
      <c r="B50" s="202" t="s">
        <v>150</v>
      </c>
      <c r="C50" s="27"/>
      <c r="D50" s="96">
        <f>+D46</f>
        <v>87289.50955387278</v>
      </c>
      <c r="E50" s="26"/>
      <c r="F50" s="28">
        <f>+F46+F48</f>
        <v>283166335.4084127</v>
      </c>
      <c r="G50" s="28"/>
      <c r="H50" s="28">
        <f>+H46+H48</f>
        <v>280540863.06</v>
      </c>
      <c r="J50" s="6"/>
      <c r="K50" s="1"/>
      <c r="L50" s="1"/>
      <c r="M50" s="1"/>
      <c r="N50" s="4"/>
      <c r="O50" s="6"/>
      <c r="P50" s="1"/>
      <c r="Q50" s="1"/>
      <c r="R50" s="1"/>
      <c r="S50" s="4"/>
      <c r="X50" s="38"/>
      <c r="Y50" s="30"/>
      <c r="Z50" s="1"/>
      <c r="AA50" s="33"/>
      <c r="AB50" s="41"/>
      <c r="AC50" s="182"/>
    </row>
    <row r="51" spans="1:29" ht="8.25" customHeight="1">
      <c r="A51" s="176">
        <f>ROW()</f>
        <v>51</v>
      </c>
      <c r="B51" s="188"/>
      <c r="C51" s="27"/>
      <c r="D51" s="96"/>
      <c r="E51" s="26"/>
      <c r="F51" s="28"/>
      <c r="G51" s="29"/>
      <c r="H51" s="29"/>
      <c r="I51" s="30"/>
      <c r="J51" s="31"/>
      <c r="K51" s="30"/>
      <c r="L51" s="30"/>
      <c r="M51" s="30"/>
      <c r="N51" s="32"/>
      <c r="O51" s="31"/>
      <c r="P51" s="30"/>
      <c r="Q51" s="30"/>
      <c r="R51" s="30"/>
      <c r="S51" s="32"/>
      <c r="T51" s="30"/>
      <c r="U51" s="30"/>
      <c r="V51" s="30"/>
      <c r="W51" s="30"/>
      <c r="X51" s="32"/>
      <c r="Y51" s="30"/>
      <c r="Z51" s="1"/>
      <c r="AA51" s="33"/>
      <c r="AB51" s="41"/>
      <c r="AC51" s="182"/>
    </row>
    <row r="52" spans="1:29" ht="17.25">
      <c r="A52" s="176">
        <f>ROW()</f>
        <v>52</v>
      </c>
      <c r="B52" s="188" t="s">
        <v>29</v>
      </c>
      <c r="C52" s="27"/>
      <c r="D52" s="101">
        <f>+D30+D37+D50</f>
        <v>6649521.818629946</v>
      </c>
      <c r="E52" s="26"/>
      <c r="F52" s="101">
        <f>+F30+F37+F50</f>
        <v>12027290266.744379</v>
      </c>
      <c r="G52" s="46"/>
      <c r="H52" s="101">
        <f>+H30+H37+H50</f>
        <v>11327021986.266745</v>
      </c>
      <c r="I52" s="47">
        <f>+I30+I37+I46</f>
        <v>451550941.5123324</v>
      </c>
      <c r="J52" s="48">
        <f>+J30+J37+J46</f>
        <v>29858635.400000002</v>
      </c>
      <c r="K52" s="47">
        <f>+K30+K37+K46</f>
        <v>15807772.329997035</v>
      </c>
      <c r="L52" s="47">
        <f>+L30+L37+L46</f>
        <v>8622020.270002967</v>
      </c>
      <c r="M52" s="47"/>
      <c r="N52" s="49">
        <f>+'Monthly Fuel Cost Allocation'!N8</f>
        <v>54288428</v>
      </c>
      <c r="O52" s="48">
        <f>+O30+O37+O46</f>
        <v>32540014.653999995</v>
      </c>
      <c r="P52" s="47">
        <f>+P30+P37+P46</f>
        <v>9762004.3962</v>
      </c>
      <c r="Q52" s="47">
        <f>+Q30+Q37+Q46</f>
        <v>4183716.1698</v>
      </c>
      <c r="R52" s="47"/>
      <c r="S52" s="49">
        <f>+'Monthly Fuel Cost Allocation'!N9</f>
        <v>46485735.22</v>
      </c>
      <c r="T52" s="50">
        <f>+T30+T37+T46</f>
        <v>552325104.7323323</v>
      </c>
      <c r="U52" s="88">
        <f>+U30+U37+U46</f>
        <v>-1591706</v>
      </c>
      <c r="V52" s="88">
        <f>+V30+V37+V46</f>
        <v>-2199999.9999999967</v>
      </c>
      <c r="W52" s="47">
        <f>+W30+W37+W46</f>
        <v>5148040.1215483295</v>
      </c>
      <c r="X52" s="49">
        <f>+X30+X37+X46</f>
        <v>553681438.8538806</v>
      </c>
      <c r="Y52" s="30"/>
      <c r="Z52" s="1"/>
      <c r="AA52" s="51">
        <f>+AA30+AA37+AA46</f>
        <v>553681438.8538806</v>
      </c>
      <c r="AB52" s="117">
        <f>+AA52/H52*100</f>
        <v>4.888146588972655</v>
      </c>
      <c r="AC52" s="182"/>
    </row>
    <row r="53" spans="1:29" ht="7.5" customHeight="1">
      <c r="A53" s="176">
        <f>ROW()</f>
        <v>53</v>
      </c>
      <c r="B53" s="188"/>
      <c r="C53" s="27"/>
      <c r="D53" s="96"/>
      <c r="E53" s="26"/>
      <c r="F53" s="104"/>
      <c r="G53" s="46"/>
      <c r="H53" s="46"/>
      <c r="I53" s="47"/>
      <c r="J53" s="275"/>
      <c r="K53" s="276"/>
      <c r="L53" s="276"/>
      <c r="M53" s="276"/>
      <c r="N53" s="277"/>
      <c r="O53" s="275"/>
      <c r="P53" s="276"/>
      <c r="Q53" s="276"/>
      <c r="R53" s="276"/>
      <c r="S53" s="277"/>
      <c r="T53" s="47"/>
      <c r="U53" s="47"/>
      <c r="V53" s="47"/>
      <c r="W53" s="47"/>
      <c r="X53" s="49"/>
      <c r="Y53" s="30"/>
      <c r="Z53" s="1"/>
      <c r="AA53" s="33"/>
      <c r="AB53" s="41"/>
      <c r="AC53" s="182"/>
    </row>
    <row r="54" spans="1:29" ht="3.75" customHeight="1" thickBot="1">
      <c r="A54" s="176">
        <f>ROW()</f>
        <v>54</v>
      </c>
      <c r="B54" s="209"/>
      <c r="C54" s="278"/>
      <c r="D54" s="279"/>
      <c r="E54" s="280"/>
      <c r="F54" s="280"/>
      <c r="G54" s="280"/>
      <c r="H54" s="280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280"/>
      <c r="Y54" s="148"/>
      <c r="Z54" s="148"/>
      <c r="AA54" s="148"/>
      <c r="AB54" s="280"/>
      <c r="AC54" s="210"/>
    </row>
    <row r="55" spans="1:29" ht="12" customHeight="1" hidden="1" thickTop="1">
      <c r="A55" s="176">
        <f>ROW()</f>
        <v>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7" ht="13.5" hidden="1" thickTop="1">
      <c r="A56" s="176">
        <f>ROW()</f>
        <v>56</v>
      </c>
      <c r="B56" s="3" t="s">
        <v>90</v>
      </c>
      <c r="D56" s="5">
        <f>+D37+D46</f>
        <v>130146.30955387278</v>
      </c>
      <c r="F56" s="5">
        <f>+F37+F46</f>
        <v>438052623.393216</v>
      </c>
      <c r="G56" s="5"/>
      <c r="H56" s="5">
        <f aca="true" t="shared" si="22" ref="H56:U56">+H37+H46</f>
        <v>433774863.06</v>
      </c>
      <c r="I56" s="281">
        <f t="shared" si="22"/>
        <v>13086203.798283797</v>
      </c>
      <c r="J56" s="281">
        <f t="shared" si="22"/>
        <v>0</v>
      </c>
      <c r="K56" s="281">
        <f t="shared" si="22"/>
        <v>0</v>
      </c>
      <c r="L56" s="281">
        <f t="shared" si="22"/>
        <v>0</v>
      </c>
      <c r="M56" s="281">
        <f t="shared" si="22"/>
        <v>0</v>
      </c>
      <c r="N56" s="281">
        <f t="shared" si="22"/>
        <v>0</v>
      </c>
      <c r="O56" s="281">
        <f t="shared" si="22"/>
        <v>0</v>
      </c>
      <c r="P56" s="281">
        <f t="shared" si="22"/>
        <v>0</v>
      </c>
      <c r="Q56" s="281">
        <f t="shared" si="22"/>
        <v>0</v>
      </c>
      <c r="R56" s="281">
        <f t="shared" si="22"/>
        <v>0</v>
      </c>
      <c r="S56" s="281">
        <f t="shared" si="22"/>
        <v>0</v>
      </c>
      <c r="T56" s="281">
        <f t="shared" si="22"/>
        <v>13086203.798283797</v>
      </c>
      <c r="U56" s="281">
        <f t="shared" si="22"/>
        <v>0</v>
      </c>
      <c r="V56" s="281"/>
      <c r="W56" s="281"/>
      <c r="X56" s="281">
        <f>+T56+U56</f>
        <v>13086203.798283797</v>
      </c>
      <c r="Y56" s="281"/>
      <c r="Z56" s="281"/>
      <c r="AA56" s="281">
        <f>+AA37+AA46</f>
        <v>13086203.798283797</v>
      </c>
    </row>
    <row r="57" spans="1:24" ht="13.5" hidden="1" thickTop="1">
      <c r="A57" s="176">
        <f>ROW()</f>
        <v>57</v>
      </c>
      <c r="I57" s="281"/>
      <c r="N57" s="281"/>
      <c r="O57" s="281"/>
      <c r="P57" s="281"/>
      <c r="Q57" s="281"/>
      <c r="R57" s="281"/>
      <c r="S57" s="281"/>
      <c r="T57" s="281"/>
      <c r="X57" s="281"/>
    </row>
    <row r="58" spans="1:24" ht="13.5" hidden="1" thickTop="1">
      <c r="A58" s="176">
        <f>ROW()</f>
        <v>58</v>
      </c>
      <c r="B58" s="3" t="s">
        <v>100</v>
      </c>
      <c r="F58" s="8">
        <f>+F35+F44</f>
        <v>372972121.874311</v>
      </c>
      <c r="G58" s="8"/>
      <c r="H58" s="8">
        <f>+H35+H44</f>
        <v>367878000</v>
      </c>
      <c r="S58" s="281">
        <f>+S52+N52</f>
        <v>100774163.22</v>
      </c>
      <c r="T58" s="281"/>
      <c r="X58" s="281"/>
    </row>
    <row r="59" spans="1:8" ht="13.5" hidden="1" thickTop="1">
      <c r="A59" s="176">
        <f>ROW()</f>
        <v>59</v>
      </c>
      <c r="B59" s="3" t="s">
        <v>101</v>
      </c>
      <c r="D59" s="8">
        <f>+D52-D48</f>
        <v>6649521.818629946</v>
      </c>
      <c r="F59" s="8">
        <f>+F52-F48</f>
        <v>12000804266.744379</v>
      </c>
      <c r="H59" s="8">
        <f>+H52-H48</f>
        <v>11301377986.266745</v>
      </c>
    </row>
    <row r="60" ht="13.5" thickTop="1"/>
    <row r="61" spans="2:20" ht="15.75">
      <c r="B61" s="86" t="s">
        <v>184</v>
      </c>
      <c r="F61" s="8"/>
      <c r="H61" s="8"/>
      <c r="T61" s="281"/>
    </row>
    <row r="62" spans="2:8" ht="15">
      <c r="B62" s="282"/>
      <c r="F62" s="8"/>
      <c r="H62" s="8"/>
    </row>
    <row r="63" spans="2:22" ht="15">
      <c r="B63" s="283" t="s">
        <v>310</v>
      </c>
      <c r="V63" s="281"/>
    </row>
    <row r="64" ht="15">
      <c r="B64" s="282" t="s">
        <v>190</v>
      </c>
    </row>
  </sheetData>
  <sheetProtection/>
  <mergeCells count="29">
    <mergeCell ref="Y11:AB11"/>
    <mergeCell ref="J12:N12"/>
    <mergeCell ref="Z12:Z14"/>
    <mergeCell ref="AA12:AA14"/>
    <mergeCell ref="X12:X14"/>
    <mergeCell ref="Y12:Y14"/>
    <mergeCell ref="T12:T14"/>
    <mergeCell ref="U12:U14"/>
    <mergeCell ref="AB12:AB14"/>
    <mergeCell ref="O12:S12"/>
    <mergeCell ref="C12:C14"/>
    <mergeCell ref="H12:H14"/>
    <mergeCell ref="I11:X11"/>
    <mergeCell ref="N13:N14"/>
    <mergeCell ref="D12:E12"/>
    <mergeCell ref="D13:D14"/>
    <mergeCell ref="E13:E14"/>
    <mergeCell ref="F12:G12"/>
    <mergeCell ref="I12:I14"/>
    <mergeCell ref="B2:AB2"/>
    <mergeCell ref="B4:AB4"/>
    <mergeCell ref="O13:O14"/>
    <mergeCell ref="P13:R13"/>
    <mergeCell ref="S13:S14"/>
    <mergeCell ref="F13:F14"/>
    <mergeCell ref="G13:G14"/>
    <mergeCell ref="J13:J14"/>
    <mergeCell ref="K13:M13"/>
    <mergeCell ref="C11:H11"/>
  </mergeCells>
  <printOptions/>
  <pageMargins left="0.7" right="0.7" top="0.75" bottom="0.75" header="0.3" footer="0.3"/>
  <pageSetup horizontalDpi="600" verticalDpi="600" orientation="landscape" paperSize="17" scale="46" r:id="rId1"/>
  <headerFooter alignWithMargins="0">
    <oddFooter>&amp;CPage &amp;P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83"/>
  <sheetViews>
    <sheetView view="pageBreakPreview" zoomScale="60" zoomScalePageLayoutView="0" workbookViewId="0" topLeftCell="A1">
      <pane xSplit="1" ySplit="6" topLeftCell="B7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B6" sqref="B5:N6"/>
    </sheetView>
  </sheetViews>
  <sheetFormatPr defaultColWidth="9.140625" defaultRowHeight="12.75"/>
  <cols>
    <col min="1" max="1" width="37.28125" style="3" customWidth="1"/>
    <col min="2" max="2" width="16.421875" style="3" customWidth="1"/>
    <col min="3" max="4" width="16.8515625" style="3" bestFit="1" customWidth="1"/>
    <col min="5" max="5" width="15.57421875" style="3" bestFit="1" customWidth="1"/>
    <col min="6" max="6" width="17.00390625" style="3" bestFit="1" customWidth="1"/>
    <col min="7" max="8" width="16.57421875" style="3" bestFit="1" customWidth="1"/>
    <col min="9" max="9" width="15.8515625" style="3" bestFit="1" customWidth="1"/>
    <col min="10" max="11" width="16.28125" style="3" bestFit="1" customWidth="1"/>
    <col min="12" max="12" width="16.57421875" style="3" bestFit="1" customWidth="1"/>
    <col min="13" max="13" width="17.00390625" style="3" bestFit="1" customWidth="1"/>
    <col min="14" max="14" width="19.140625" style="3" customWidth="1"/>
    <col min="15" max="15" width="12.140625" style="3" bestFit="1" customWidth="1"/>
    <col min="16" max="17" width="14.140625" style="3" customWidth="1"/>
    <col min="18" max="16384" width="9.140625" style="3" customWidth="1"/>
  </cols>
  <sheetData>
    <row r="1" ht="12.75">
      <c r="A1" s="20" t="s">
        <v>242</v>
      </c>
    </row>
    <row r="2" ht="12.75">
      <c r="A2" s="284">
        <v>0</v>
      </c>
    </row>
    <row r="3" ht="12.75">
      <c r="A3" s="285" t="s">
        <v>179</v>
      </c>
    </row>
    <row r="4" ht="12.75">
      <c r="A4" s="286">
        <v>1.0137300658434074</v>
      </c>
    </row>
    <row r="5" spans="1:15" ht="12.75">
      <c r="A5" s="285" t="s">
        <v>180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0"/>
    </row>
    <row r="6" spans="1:24" ht="12.75">
      <c r="A6" s="287">
        <f>'BCF Allocation'!AB26-'BCF Allocation'!AB37</f>
        <v>-1.0281640715697913</v>
      </c>
      <c r="B6" s="310">
        <v>40544</v>
      </c>
      <c r="C6" s="310">
        <v>40575</v>
      </c>
      <c r="D6" s="310">
        <v>40603</v>
      </c>
      <c r="E6" s="310">
        <v>40634</v>
      </c>
      <c r="F6" s="310">
        <v>40664</v>
      </c>
      <c r="G6" s="310">
        <v>40695</v>
      </c>
      <c r="H6" s="310">
        <v>40725</v>
      </c>
      <c r="I6" s="310">
        <v>40756</v>
      </c>
      <c r="J6" s="310">
        <v>40787</v>
      </c>
      <c r="K6" s="310">
        <v>40817</v>
      </c>
      <c r="L6" s="310">
        <v>40848</v>
      </c>
      <c r="M6" s="310">
        <v>40878</v>
      </c>
      <c r="N6" s="164" t="s">
        <v>44</v>
      </c>
      <c r="O6" s="10"/>
      <c r="P6" s="10"/>
      <c r="Q6" s="10"/>
      <c r="R6" s="11"/>
      <c r="S6" s="12"/>
      <c r="T6" s="12"/>
      <c r="U6" s="12"/>
      <c r="V6" s="12"/>
      <c r="W6" s="12"/>
      <c r="X6" s="12"/>
    </row>
    <row r="7" spans="1:24" ht="25.5">
      <c r="A7" s="13" t="s">
        <v>165</v>
      </c>
      <c r="B7" s="14">
        <f>+'Data Inputs - 2011'!C2</f>
        <v>65446927.2</v>
      </c>
      <c r="C7" s="14">
        <f>+'Data Inputs - 2011'!D2</f>
        <v>55406557.2</v>
      </c>
      <c r="D7" s="14">
        <f>+'Data Inputs - 2011'!E2</f>
        <v>48531144.99999999</v>
      </c>
      <c r="E7" s="14">
        <f>+'Data Inputs - 2011'!F2</f>
        <v>44174995.300000004</v>
      </c>
      <c r="F7" s="14">
        <f>+'Data Inputs - 2011'!G2</f>
        <v>39583691.5</v>
      </c>
      <c r="G7" s="14">
        <f>+'Data Inputs - 2011'!H2</f>
        <v>42628139.800000004</v>
      </c>
      <c r="H7" s="14">
        <f>+'Data Inputs - 2011'!I2</f>
        <v>42911403.4</v>
      </c>
      <c r="I7" s="14">
        <f>+'Data Inputs - 2011'!J2</f>
        <v>45275849.99398545</v>
      </c>
      <c r="J7" s="14">
        <f>+'Data Inputs - 2011'!K2</f>
        <v>37619132.931146376</v>
      </c>
      <c r="K7" s="14">
        <f>+'Data Inputs - 2011'!L2</f>
        <v>39900147.800000004</v>
      </c>
      <c r="L7" s="14">
        <f>+'Data Inputs - 2011'!M2</f>
        <v>41935536.08641198</v>
      </c>
      <c r="M7" s="14">
        <f>+'Data Inputs - 2011'!N2</f>
        <v>48911578.52078851</v>
      </c>
      <c r="N7" s="15">
        <f>SUM(B7:M7)</f>
        <v>552325104.7323323</v>
      </c>
      <c r="O7" s="15"/>
      <c r="P7" s="15"/>
      <c r="Q7" s="15"/>
      <c r="R7" s="11"/>
      <c r="S7" s="12"/>
      <c r="T7" s="12"/>
      <c r="U7" s="12"/>
      <c r="V7" s="12"/>
      <c r="W7" s="12"/>
      <c r="X7" s="12"/>
    </row>
    <row r="8" spans="1:24" ht="12.75">
      <c r="A8" s="13" t="s">
        <v>102</v>
      </c>
      <c r="B8" s="14">
        <f>+'Data Inputs - 2011'!C3</f>
        <v>8302348</v>
      </c>
      <c r="C8" s="14">
        <f>+'Data Inputs - 2011'!D3</f>
        <v>4307533</v>
      </c>
      <c r="D8" s="14">
        <f>+'Data Inputs - 2011'!E3</f>
        <v>1948549</v>
      </c>
      <c r="E8" s="14">
        <f>+'Data Inputs - 2011'!F3</f>
        <v>5342028</v>
      </c>
      <c r="F8" s="14">
        <f>+'Data Inputs - 2011'!G3</f>
        <v>5724746</v>
      </c>
      <c r="G8" s="14">
        <f>+'Data Inputs - 2011'!H3</f>
        <v>3570261</v>
      </c>
      <c r="H8" s="14">
        <f>+'Data Inputs - 2011'!I3</f>
        <v>2978014</v>
      </c>
      <c r="I8" s="14">
        <f>+'Data Inputs - 2011'!J3</f>
        <v>3471935</v>
      </c>
      <c r="J8" s="14">
        <f>+'Data Inputs - 2011'!K3</f>
        <v>5770896</v>
      </c>
      <c r="K8" s="14">
        <f>+'Data Inputs - 2011'!L3</f>
        <v>2455576</v>
      </c>
      <c r="L8" s="14">
        <f>+'Data Inputs - 2011'!M3</f>
        <v>4318545</v>
      </c>
      <c r="M8" s="14">
        <f>+'Data Inputs - 2011'!N3</f>
        <v>6097997</v>
      </c>
      <c r="N8" s="15">
        <f>SUM(B8:M8)</f>
        <v>54288428</v>
      </c>
      <c r="O8" s="15"/>
      <c r="P8" s="15"/>
      <c r="Q8" s="15"/>
      <c r="R8" s="11"/>
      <c r="S8" s="12"/>
      <c r="T8" s="12"/>
      <c r="U8" s="12"/>
      <c r="V8" s="12"/>
      <c r="W8" s="12"/>
      <c r="X8" s="12"/>
    </row>
    <row r="9" spans="1:24" ht="12.75">
      <c r="A9" s="13" t="s">
        <v>103</v>
      </c>
      <c r="B9" s="84">
        <f>+'Data Inputs - 2011'!C4</f>
        <v>2912068.2</v>
      </c>
      <c r="C9" s="84">
        <f>+'Data Inputs - 2011'!D4</f>
        <v>3137513.2</v>
      </c>
      <c r="D9" s="84">
        <f>+'Data Inputs - 2011'!E4</f>
        <v>4356541</v>
      </c>
      <c r="E9" s="84">
        <f>+'Data Inputs - 2011'!F4</f>
        <v>5620939.3</v>
      </c>
      <c r="F9" s="84">
        <f>+'Data Inputs - 2011'!G4</f>
        <v>3141181.5</v>
      </c>
      <c r="G9" s="84">
        <f>+'Data Inputs - 2011'!H4</f>
        <v>3463999.8</v>
      </c>
      <c r="H9" s="84">
        <f>+'Data Inputs - 2011'!I4</f>
        <v>3606964.4</v>
      </c>
      <c r="I9" s="84">
        <f>+'Data Inputs - 2011'!J4</f>
        <v>3131338</v>
      </c>
      <c r="J9" s="84">
        <f>+'Data Inputs - 2011'!K4</f>
        <v>2500936.93</v>
      </c>
      <c r="K9" s="84">
        <f>+'Data Inputs - 2011'!L4</f>
        <v>4951746.8</v>
      </c>
      <c r="L9" s="84">
        <f>+'Data Inputs - 2011'!M4</f>
        <v>4578689.09</v>
      </c>
      <c r="M9" s="84">
        <f>+'Data Inputs - 2011'!N4</f>
        <v>5083817</v>
      </c>
      <c r="N9" s="83">
        <f>SUM(B9:M9)</f>
        <v>46485735.22</v>
      </c>
      <c r="O9" s="15"/>
      <c r="P9" s="15"/>
      <c r="Q9" s="15"/>
      <c r="R9" s="11"/>
      <c r="S9" s="12"/>
      <c r="T9" s="12"/>
      <c r="U9" s="12"/>
      <c r="V9" s="12"/>
      <c r="W9" s="12"/>
      <c r="X9" s="12"/>
    </row>
    <row r="10" spans="1:24" ht="16.5" customHeight="1">
      <c r="A10" s="13" t="s">
        <v>45</v>
      </c>
      <c r="B10" s="16">
        <f>+B7-B8-B9</f>
        <v>54232511</v>
      </c>
      <c r="C10" s="16">
        <f aca="true" t="shared" si="0" ref="C10:M10">+C7-C8-C9</f>
        <v>47961511</v>
      </c>
      <c r="D10" s="16">
        <f t="shared" si="0"/>
        <v>42226054.99999999</v>
      </c>
      <c r="E10" s="16">
        <f t="shared" si="0"/>
        <v>33212028.000000004</v>
      </c>
      <c r="F10" s="16">
        <f t="shared" si="0"/>
        <v>30717764</v>
      </c>
      <c r="G10" s="16">
        <f t="shared" si="0"/>
        <v>35593879.00000001</v>
      </c>
      <c r="H10" s="16">
        <f t="shared" si="0"/>
        <v>36326425</v>
      </c>
      <c r="I10" s="16">
        <f t="shared" si="0"/>
        <v>38672576.99398545</v>
      </c>
      <c r="J10" s="16">
        <f t="shared" si="0"/>
        <v>29347300.001146376</v>
      </c>
      <c r="K10" s="16">
        <f t="shared" si="0"/>
        <v>32492825.000000004</v>
      </c>
      <c r="L10" s="16">
        <f t="shared" si="0"/>
        <v>33038301.996411983</v>
      </c>
      <c r="M10" s="16">
        <f t="shared" si="0"/>
        <v>37729764.52078851</v>
      </c>
      <c r="N10" s="15">
        <f>SUM(B10:M10)</f>
        <v>451550941.5123323</v>
      </c>
      <c r="O10" s="15"/>
      <c r="P10" s="15"/>
      <c r="Q10" s="15"/>
      <c r="R10" s="11"/>
      <c r="S10" s="12"/>
      <c r="T10" s="12"/>
      <c r="U10" s="12"/>
      <c r="V10" s="12"/>
      <c r="W10" s="12"/>
      <c r="X10" s="12"/>
    </row>
    <row r="11" spans="1:24" ht="12.75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"/>
      <c r="O11" s="15"/>
      <c r="P11" s="15"/>
      <c r="Q11" s="15"/>
      <c r="R11" s="11"/>
      <c r="S11" s="12"/>
      <c r="T11" s="12"/>
      <c r="U11" s="12"/>
      <c r="V11" s="12"/>
      <c r="W11" s="12"/>
      <c r="X11" s="12"/>
    </row>
    <row r="12" spans="1:24" ht="15.75">
      <c r="A12" s="288" t="s">
        <v>166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  <c r="O12" s="15"/>
      <c r="P12" s="15"/>
      <c r="Q12" s="15"/>
      <c r="R12" s="11"/>
      <c r="S12" s="12"/>
      <c r="T12" s="12"/>
      <c r="U12" s="12"/>
      <c r="V12" s="12"/>
      <c r="W12" s="12"/>
      <c r="X12" s="12"/>
    </row>
    <row r="13" spans="1:24" ht="8.25" customHeight="1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5"/>
      <c r="Q13" s="15"/>
      <c r="R13" s="11"/>
      <c r="S13" s="12"/>
      <c r="T13" s="12"/>
      <c r="U13" s="12"/>
      <c r="V13" s="12"/>
      <c r="W13" s="12"/>
      <c r="X13" s="12"/>
    </row>
    <row r="14" spans="1:24" ht="12.75">
      <c r="A14" s="285" t="s">
        <v>57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  <c r="O14" s="15"/>
      <c r="P14" s="15"/>
      <c r="Q14" s="15"/>
      <c r="R14" s="11"/>
      <c r="S14" s="12"/>
      <c r="T14" s="12"/>
      <c r="U14" s="12"/>
      <c r="V14" s="12"/>
      <c r="W14" s="12"/>
      <c r="X14" s="12"/>
    </row>
    <row r="15" spans="1:24" ht="12.75">
      <c r="A15" s="289" t="s">
        <v>105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1"/>
      <c r="S15" s="12"/>
      <c r="T15" s="12"/>
      <c r="U15" s="12"/>
      <c r="V15" s="12"/>
      <c r="W15" s="12"/>
      <c r="X15" s="12"/>
    </row>
    <row r="16" spans="1:24" ht="12.75">
      <c r="A16" s="13" t="s">
        <v>59</v>
      </c>
      <c r="B16" s="16">
        <f>'Data Inputs - 2011'!C13</f>
        <v>1978.9713499999978</v>
      </c>
      <c r="C16" s="16">
        <f>'Data Inputs - 2011'!D13</f>
        <v>75.785</v>
      </c>
      <c r="D16" s="16">
        <f>'Data Inputs - 2011'!E13</f>
        <v>472.685</v>
      </c>
      <c r="E16" s="16">
        <f>'Data Inputs - 2011'!F13</f>
        <v>2115.9800000000005</v>
      </c>
      <c r="F16" s="16">
        <f>'Data Inputs - 2011'!G13</f>
        <v>10266.74165</v>
      </c>
      <c r="G16" s="16">
        <f>'Data Inputs - 2011'!H13</f>
        <v>1613.0593000000017</v>
      </c>
      <c r="H16" s="16">
        <f>'Data Inputs - 2011'!I13</f>
        <v>11348.465</v>
      </c>
      <c r="I16" s="16">
        <f>'Data Inputs - 2011'!J13</f>
        <v>8791.58395</v>
      </c>
      <c r="J16" s="16">
        <f>'Data Inputs - 2011'!K13</f>
        <v>4172.264999999999</v>
      </c>
      <c r="K16" s="16">
        <f>'Data Inputs - 2011'!L13</f>
        <v>14835.857000000002</v>
      </c>
      <c r="L16" s="16">
        <f>'Data Inputs - 2011'!M13</f>
        <v>6538.537050000001</v>
      </c>
      <c r="M16" s="16">
        <f>'Data Inputs - 2011'!N13</f>
        <v>1554.69</v>
      </c>
      <c r="N16" s="15">
        <f>SUM(B16:M16)</f>
        <v>63764.62030000001</v>
      </c>
      <c r="O16" s="15"/>
      <c r="P16" s="15"/>
      <c r="Q16" s="15"/>
      <c r="R16" s="11"/>
      <c r="S16" s="12"/>
      <c r="T16" s="12"/>
      <c r="U16" s="12"/>
      <c r="V16" s="12"/>
      <c r="W16" s="12"/>
      <c r="X16" s="12"/>
    </row>
    <row r="17" spans="1:24" ht="12.75">
      <c r="A17" s="13" t="s">
        <v>104</v>
      </c>
      <c r="B17" s="16">
        <f>'Data Inputs - 2011'!C12</f>
        <v>138.52799449999986</v>
      </c>
      <c r="C17" s="16">
        <f>'Data Inputs - 2011'!D12</f>
        <v>5.30495</v>
      </c>
      <c r="D17" s="16">
        <f>'Data Inputs - 2011'!E12</f>
        <v>33.087950000000006</v>
      </c>
      <c r="E17" s="16">
        <f>'Data Inputs - 2011'!F12</f>
        <v>148.11860000000001</v>
      </c>
      <c r="F17" s="16">
        <f>'Data Inputs - 2011'!G12</f>
        <v>718.6719155000001</v>
      </c>
      <c r="G17" s="16">
        <f>'Data Inputs - 2011'!H12</f>
        <v>112.91415100000012</v>
      </c>
      <c r="H17" s="16">
        <f>'Data Inputs - 2011'!I12</f>
        <v>794.39255</v>
      </c>
      <c r="I17" s="16">
        <f>'Data Inputs - 2011'!J12</f>
        <v>615.4108765</v>
      </c>
      <c r="J17" s="16">
        <f>'Data Inputs - 2011'!K12</f>
        <v>292.05855</v>
      </c>
      <c r="K17" s="16">
        <f>'Data Inputs - 2011'!L12</f>
        <v>1038.50999</v>
      </c>
      <c r="L17" s="16">
        <f>'Data Inputs - 2011'!M12</f>
        <v>457.69759350000004</v>
      </c>
      <c r="M17" s="16">
        <f>'Data Inputs - 2011'!N12</f>
        <v>108.8283</v>
      </c>
      <c r="N17" s="15">
        <f>SUM(B17:M17)</f>
        <v>4463.523421000001</v>
      </c>
      <c r="O17" s="15"/>
      <c r="P17" s="15"/>
      <c r="Q17" s="15"/>
      <c r="R17" s="11"/>
      <c r="S17" s="12"/>
      <c r="T17" s="12"/>
      <c r="U17" s="12"/>
      <c r="V17" s="12"/>
      <c r="W17" s="12"/>
      <c r="X17" s="12"/>
    </row>
    <row r="18" spans="1:24" ht="12.75">
      <c r="A18" s="13" t="s">
        <v>60</v>
      </c>
      <c r="B18" s="16">
        <f>'Data Inputs - 2011'!C11</f>
        <v>-45481.0120055</v>
      </c>
      <c r="C18" s="16">
        <f>'Data Inputs - 2011'!D11</f>
        <v>-16454.805050000003</v>
      </c>
      <c r="D18" s="16">
        <f>'Data Inputs - 2011'!E11</f>
        <v>-10800.752049999997</v>
      </c>
      <c r="E18" s="16">
        <f>'Data Inputs - 2011'!F11</f>
        <v>8563.808599999997</v>
      </c>
      <c r="F18" s="16">
        <f>'Data Inputs - 2011'!G11</f>
        <v>111978.6019155</v>
      </c>
      <c r="G18" s="16">
        <f>'Data Inputs - 2011'!H11</f>
        <v>-1839.7458490000026</v>
      </c>
      <c r="H18" s="16">
        <f>'Data Inputs - 2011'!I11</f>
        <v>127757.98255000004</v>
      </c>
      <c r="I18" s="16">
        <f>'Data Inputs - 2011'!J11</f>
        <v>94484.20087649999</v>
      </c>
      <c r="J18" s="16">
        <f>'Data Inputs - 2011'!K11</f>
        <v>38163.01855</v>
      </c>
      <c r="K18" s="16">
        <f>'Data Inputs - 2011'!L11</f>
        <v>148257.08999</v>
      </c>
      <c r="L18" s="16">
        <f>'Data Inputs - 2011'!M11</f>
        <v>81885.7802250471</v>
      </c>
      <c r="M18" s="16">
        <f>'Data Inputs - 2011'!N11</f>
        <v>14018.63825748</v>
      </c>
      <c r="N18" s="15">
        <f>SUM(B18:M18)</f>
        <v>550532.8060100271</v>
      </c>
      <c r="O18" s="15"/>
      <c r="P18" s="15"/>
      <c r="Q18" s="15"/>
      <c r="R18" s="11"/>
      <c r="S18" s="12"/>
      <c r="T18" s="12"/>
      <c r="U18" s="12"/>
      <c r="V18" s="12"/>
      <c r="W18" s="12"/>
      <c r="X18" s="12"/>
    </row>
    <row r="19" spans="1:24" ht="12.75">
      <c r="A19" s="13" t="s">
        <v>61</v>
      </c>
      <c r="B19" s="16">
        <f>+B18-B16-B17</f>
        <v>-47598.51135</v>
      </c>
      <c r="C19" s="16">
        <f aca="true" t="shared" si="1" ref="C19:M19">+C18-C16-C17</f>
        <v>-16535.895000000004</v>
      </c>
      <c r="D19" s="16">
        <f t="shared" si="1"/>
        <v>-11306.524999999996</v>
      </c>
      <c r="E19" s="16">
        <f t="shared" si="1"/>
        <v>6299.709999999996</v>
      </c>
      <c r="F19" s="16">
        <f t="shared" si="1"/>
        <v>100993.18835</v>
      </c>
      <c r="G19" s="16">
        <f t="shared" si="1"/>
        <v>-3565.7193000000043</v>
      </c>
      <c r="H19" s="16">
        <f t="shared" si="1"/>
        <v>115615.12500000004</v>
      </c>
      <c r="I19" s="16">
        <f t="shared" si="1"/>
        <v>85077.20605</v>
      </c>
      <c r="J19" s="16">
        <f t="shared" si="1"/>
        <v>33698.695</v>
      </c>
      <c r="K19" s="16">
        <f t="shared" si="1"/>
        <v>132382.72300000003</v>
      </c>
      <c r="L19" s="16">
        <f t="shared" si="1"/>
        <v>74889.5455815471</v>
      </c>
      <c r="M19" s="16">
        <f t="shared" si="1"/>
        <v>12355.119957480001</v>
      </c>
      <c r="N19" s="15">
        <f>SUM(B19:M19)</f>
        <v>482304.6622890271</v>
      </c>
      <c r="O19" s="15"/>
      <c r="P19" s="15"/>
      <c r="Q19" s="15"/>
      <c r="R19" s="11"/>
      <c r="S19" s="12"/>
      <c r="T19" s="12"/>
      <c r="U19" s="12"/>
      <c r="V19" s="12"/>
      <c r="W19" s="12"/>
      <c r="X19" s="12"/>
    </row>
    <row r="20" spans="1:24" ht="5.25" customHeight="1">
      <c r="A20" s="13"/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5"/>
      <c r="O20" s="15"/>
      <c r="P20" s="15"/>
      <c r="Q20" s="15"/>
      <c r="R20" s="11"/>
      <c r="S20" s="12"/>
      <c r="T20" s="12"/>
      <c r="U20" s="12"/>
      <c r="V20" s="12"/>
      <c r="W20" s="12"/>
      <c r="X20" s="12"/>
    </row>
    <row r="21" spans="1:24" ht="12.75">
      <c r="A21" s="290" t="s">
        <v>161</v>
      </c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5"/>
      <c r="O21" s="15"/>
      <c r="P21" s="15"/>
      <c r="Q21" s="15"/>
      <c r="R21" s="11"/>
      <c r="S21" s="12"/>
      <c r="T21" s="12"/>
      <c r="U21" s="12"/>
      <c r="V21" s="12"/>
      <c r="W21" s="12"/>
      <c r="X21" s="12"/>
    </row>
    <row r="22" spans="1:24" ht="12.75">
      <c r="A22" s="291" t="s">
        <v>107</v>
      </c>
      <c r="B22" s="16">
        <f>+'Data Inputs - 2011'!C6</f>
        <v>9056.36802649504</v>
      </c>
      <c r="C22" s="16">
        <f>+'Data Inputs - 2011'!D6</f>
        <v>9056.36802649504</v>
      </c>
      <c r="D22" s="16">
        <f>+'Data Inputs - 2011'!E6</f>
        <v>9056.36802649504</v>
      </c>
      <c r="E22" s="16">
        <f>+'Data Inputs - 2011'!F6</f>
        <v>9056.36802649504</v>
      </c>
      <c r="F22" s="16">
        <f>+'Data Inputs - 2011'!G6</f>
        <v>9056.36802649504</v>
      </c>
      <c r="G22" s="16">
        <f>+'Data Inputs - 2011'!H6</f>
        <v>9396.60858641477</v>
      </c>
      <c r="H22" s="16">
        <f>+'Data Inputs - 2011'!I6</f>
        <v>9396.60858641477</v>
      </c>
      <c r="I22" s="16">
        <f>+'Data Inputs - 2011'!J6</f>
        <v>9396.60858641477</v>
      </c>
      <c r="J22" s="16">
        <f>+'Data Inputs - 2011'!K6</f>
        <v>9927.02571193174</v>
      </c>
      <c r="K22" s="16">
        <f>+'Data Inputs - 2011'!L6</f>
        <v>9927.02571193174</v>
      </c>
      <c r="L22" s="16">
        <f>+'Data Inputs - 2011'!M6</f>
        <v>9128.713913972733</v>
      </c>
      <c r="M22" s="16">
        <f>+'Data Inputs - 2011'!N6</f>
        <v>9128.713913972733</v>
      </c>
      <c r="N22" s="15">
        <f>SUM(B22:M22)</f>
        <v>111583.14514352845</v>
      </c>
      <c r="O22" s="15"/>
      <c r="P22" s="15"/>
      <c r="Q22" s="15"/>
      <c r="R22" s="11"/>
      <c r="S22" s="12"/>
      <c r="T22" s="12"/>
      <c r="U22" s="12"/>
      <c r="V22" s="12"/>
      <c r="W22" s="12"/>
      <c r="X22" s="12"/>
    </row>
    <row r="23" spans="1:24" ht="5.25" customHeight="1">
      <c r="A23" s="29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  <c r="P23" s="15"/>
      <c r="Q23" s="15"/>
      <c r="R23" s="11"/>
      <c r="S23" s="12"/>
      <c r="T23" s="12"/>
      <c r="U23" s="12"/>
      <c r="V23" s="12"/>
      <c r="W23" s="12"/>
      <c r="X23" s="12"/>
    </row>
    <row r="24" spans="1:24" ht="12.75">
      <c r="A24" s="290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5"/>
      <c r="R24" s="11"/>
      <c r="S24" s="12"/>
      <c r="T24" s="12"/>
      <c r="U24" s="12"/>
      <c r="V24" s="12"/>
      <c r="W24" s="12"/>
      <c r="X24" s="12"/>
    </row>
    <row r="25" spans="1:24" ht="12.75">
      <c r="A25" s="291" t="s">
        <v>58</v>
      </c>
      <c r="B25" s="17">
        <f>+'Data Inputs - 2011'!C52</f>
        <v>159693344</v>
      </c>
      <c r="C25" s="17">
        <f>+'Data Inputs - 2011'!D52</f>
        <v>150509400</v>
      </c>
      <c r="D25" s="17">
        <f>+'Data Inputs - 2011'!E52</f>
        <v>169463371</v>
      </c>
      <c r="E25" s="17">
        <f>+'Data Inputs - 2011'!F52</f>
        <v>169151051</v>
      </c>
      <c r="F25" s="17">
        <f>+'Data Inputs - 2011'!G52</f>
        <v>178375532</v>
      </c>
      <c r="G25" s="17">
        <f>+'Data Inputs - 2011'!H52</f>
        <v>156522315</v>
      </c>
      <c r="H25" s="17">
        <f>+'Data Inputs - 2011'!I52</f>
        <v>178918489</v>
      </c>
      <c r="I25" s="17">
        <f>+'Data Inputs - 2011'!J52</f>
        <v>163566049</v>
      </c>
      <c r="J25" s="17">
        <f>+'Data Inputs - 2011'!K52</f>
        <v>85857834</v>
      </c>
      <c r="K25" s="17">
        <f>+'Data Inputs - 2011'!L52</f>
        <v>25729147</v>
      </c>
      <c r="L25" s="17">
        <f>+'Data Inputs - 2011'!M52</f>
        <v>37618560.00000001</v>
      </c>
      <c r="M25" s="17">
        <f>+'Data Inputs - 2011'!N52</f>
        <v>38872512</v>
      </c>
      <c r="N25" s="18">
        <f>SUM(B25:M25)</f>
        <v>1514277604</v>
      </c>
      <c r="O25" s="15"/>
      <c r="P25" s="15"/>
      <c r="Q25" s="15"/>
      <c r="R25" s="11"/>
      <c r="S25" s="12"/>
      <c r="T25" s="12"/>
      <c r="U25" s="12"/>
      <c r="V25" s="12"/>
      <c r="W25" s="12"/>
      <c r="X25" s="12"/>
    </row>
    <row r="26" spans="1:24" ht="12.75">
      <c r="A26" s="291" t="s">
        <v>130</v>
      </c>
      <c r="B26" s="16">
        <f>'Data Inputs - 2011'!C53</f>
        <v>911840.5199999999</v>
      </c>
      <c r="C26" s="16">
        <f>'Data Inputs - 2011'!D53</f>
        <v>748427.42</v>
      </c>
      <c r="D26" s="16">
        <f>'Data Inputs - 2011'!E53</f>
        <v>967173.93</v>
      </c>
      <c r="E26" s="16">
        <f>'Data Inputs - 2011'!F53</f>
        <v>1082079.22</v>
      </c>
      <c r="F26" s="16">
        <f>'Data Inputs - 2011'!G53</f>
        <v>1231461.8499999999</v>
      </c>
      <c r="G26" s="16">
        <f>'Data Inputs - 2011'!H53</f>
        <v>891466.96</v>
      </c>
      <c r="H26" s="16">
        <f>'Data Inputs - 2011'!I53</f>
        <v>1185488.98</v>
      </c>
      <c r="I26" s="16">
        <f>'Data Inputs - 2011'!J53</f>
        <v>837950.6</v>
      </c>
      <c r="J26" s="16">
        <f>'Data Inputs - 2011'!K53</f>
        <v>315620.7</v>
      </c>
      <c r="K26" s="16">
        <f>'Data Inputs - 2011'!L53</f>
        <v>166058.16</v>
      </c>
      <c r="L26" s="16">
        <f>'Data Inputs - 2011'!M53</f>
        <v>0</v>
      </c>
      <c r="M26" s="16">
        <f>'Data Inputs - 2011'!N53</f>
        <v>0</v>
      </c>
      <c r="N26" s="15">
        <f>SUM(B26:M26)</f>
        <v>8337568.339999999</v>
      </c>
      <c r="O26" s="15"/>
      <c r="P26" s="15"/>
      <c r="Q26" s="15"/>
      <c r="R26" s="11"/>
      <c r="S26" s="12"/>
      <c r="T26" s="12"/>
      <c r="U26" s="12"/>
      <c r="V26" s="12"/>
      <c r="W26" s="12"/>
      <c r="X26" s="12"/>
    </row>
    <row r="27" spans="1:24" ht="12.75">
      <c r="A27" s="291" t="s">
        <v>131</v>
      </c>
      <c r="B27" s="16">
        <f>'Data Inputs - 2011'!C54</f>
        <v>-1382121.7523976963</v>
      </c>
      <c r="C27" s="16">
        <f>'Data Inputs - 2011'!D54</f>
        <v>-537284.2065489651</v>
      </c>
      <c r="D27" s="16">
        <f>'Data Inputs - 2011'!E54</f>
        <v>-556069.43</v>
      </c>
      <c r="E27" s="16">
        <f>'Data Inputs - 2011'!F54</f>
        <v>-465880.50847775594</v>
      </c>
      <c r="F27" s="16">
        <f>'Data Inputs - 2011'!G54</f>
        <v>-440559.5536879165</v>
      </c>
      <c r="G27" s="16">
        <f>'Data Inputs - 2011'!H54</f>
        <v>-875870.1575196779</v>
      </c>
      <c r="H27" s="16">
        <f>'Data Inputs - 2011'!I54</f>
        <v>-436122.0411785896</v>
      </c>
      <c r="I27" s="16">
        <f>'Data Inputs - 2011'!J54</f>
        <v>-743442.389338159</v>
      </c>
      <c r="J27" s="16">
        <f>'Data Inputs - 2011'!K54</f>
        <v>-462807.23000000004</v>
      </c>
      <c r="K27" s="16">
        <f>'Data Inputs - 2011'!L54</f>
        <v>-187649.36000000002</v>
      </c>
      <c r="L27" s="16">
        <f>'Data Inputs - 2011'!M54</f>
        <v>0</v>
      </c>
      <c r="M27" s="16">
        <f>'Data Inputs - 2011'!N54</f>
        <v>0</v>
      </c>
      <c r="N27" s="15">
        <f>SUM(B27:M27)</f>
        <v>-6087806.629148761</v>
      </c>
      <c r="O27" s="15"/>
      <c r="P27" s="15"/>
      <c r="Q27" s="15"/>
      <c r="R27" s="11"/>
      <c r="S27" s="12"/>
      <c r="T27" s="12"/>
      <c r="U27" s="12"/>
      <c r="V27" s="12"/>
      <c r="W27" s="12"/>
      <c r="X27" s="12"/>
    </row>
    <row r="28" spans="1:24" ht="4.5" customHeight="1">
      <c r="A28" s="29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15"/>
      <c r="P28" s="15"/>
      <c r="Q28" s="15"/>
      <c r="R28" s="11"/>
      <c r="S28" s="12"/>
      <c r="T28" s="12"/>
      <c r="U28" s="12"/>
      <c r="V28" s="12"/>
      <c r="W28" s="12"/>
      <c r="X28" s="12"/>
    </row>
    <row r="29" spans="1:24" ht="12.75">
      <c r="A29" s="290" t="s">
        <v>167</v>
      </c>
      <c r="B29" s="16">
        <f aca="true" t="shared" si="2" ref="B29:M29">+B19+B22+B26+B27</f>
        <v>-508823.3757212013</v>
      </c>
      <c r="C29" s="16">
        <f t="shared" si="2"/>
        <v>203663.68647753005</v>
      </c>
      <c r="D29" s="16">
        <f t="shared" si="2"/>
        <v>408854.3430264951</v>
      </c>
      <c r="E29" s="16">
        <f t="shared" si="2"/>
        <v>631554.789548739</v>
      </c>
      <c r="F29" s="16">
        <f t="shared" si="2"/>
        <v>900951.8526885783</v>
      </c>
      <c r="G29" s="16">
        <f t="shared" si="2"/>
        <v>21427.691766736796</v>
      </c>
      <c r="H29" s="16">
        <f t="shared" si="2"/>
        <v>874378.672407825</v>
      </c>
      <c r="I29" s="16">
        <f t="shared" si="2"/>
        <v>188982.02529825573</v>
      </c>
      <c r="J29" s="16">
        <f t="shared" si="2"/>
        <v>-103560.80928806827</v>
      </c>
      <c r="K29" s="16">
        <f t="shared" si="2"/>
        <v>120718.54871193177</v>
      </c>
      <c r="L29" s="16">
        <f t="shared" si="2"/>
        <v>84018.25949551984</v>
      </c>
      <c r="M29" s="16">
        <f t="shared" si="2"/>
        <v>21483.833871452734</v>
      </c>
      <c r="N29" s="15">
        <f>SUM(B29:M29)</f>
        <v>2843649.518283795</v>
      </c>
      <c r="O29" s="15"/>
      <c r="P29" s="15"/>
      <c r="Q29" s="15"/>
      <c r="R29" s="11"/>
      <c r="S29" s="12"/>
      <c r="T29" s="12"/>
      <c r="U29" s="12"/>
      <c r="V29" s="12"/>
      <c r="W29" s="12"/>
      <c r="X29" s="12"/>
    </row>
    <row r="30" spans="1:24" ht="12.75">
      <c r="A30" s="29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15"/>
      <c r="P30" s="15"/>
      <c r="Q30" s="15"/>
      <c r="R30" s="11"/>
      <c r="S30" s="12"/>
      <c r="T30" s="12"/>
      <c r="U30" s="12"/>
      <c r="V30" s="12"/>
      <c r="W30" s="12"/>
      <c r="X30" s="12"/>
    </row>
    <row r="31" spans="1:24" ht="15.75">
      <c r="A31" s="292" t="s">
        <v>168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5"/>
      <c r="O31" s="15"/>
      <c r="P31" s="15"/>
      <c r="Q31" s="15"/>
      <c r="R31" s="11"/>
      <c r="S31" s="12"/>
      <c r="T31" s="12"/>
      <c r="U31" s="12"/>
      <c r="V31" s="12"/>
      <c r="W31" s="12"/>
      <c r="X31" s="12"/>
    </row>
    <row r="32" spans="1:24" ht="12.75">
      <c r="A32" s="13" t="s">
        <v>152</v>
      </c>
      <c r="B32" s="16">
        <f aca="true" t="shared" si="3" ref="B32:M32">+B10-B29</f>
        <v>54741334.3757212</v>
      </c>
      <c r="C32" s="16">
        <f t="shared" si="3"/>
        <v>47757847.31352247</v>
      </c>
      <c r="D32" s="16">
        <f t="shared" si="3"/>
        <v>41817200.656973496</v>
      </c>
      <c r="E32" s="16">
        <f t="shared" si="3"/>
        <v>32580473.210451264</v>
      </c>
      <c r="F32" s="16">
        <f t="shared" si="3"/>
        <v>29816812.147311423</v>
      </c>
      <c r="G32" s="16">
        <f t="shared" si="3"/>
        <v>35572451.30823327</v>
      </c>
      <c r="H32" s="16">
        <f t="shared" si="3"/>
        <v>35452046.32759217</v>
      </c>
      <c r="I32" s="16">
        <f t="shared" si="3"/>
        <v>38483594.9686872</v>
      </c>
      <c r="J32" s="16">
        <f t="shared" si="3"/>
        <v>29450860.810434446</v>
      </c>
      <c r="K32" s="16">
        <f t="shared" si="3"/>
        <v>32372106.45128807</v>
      </c>
      <c r="L32" s="16">
        <f t="shared" si="3"/>
        <v>32954283.736916464</v>
      </c>
      <c r="M32" s="16">
        <f t="shared" si="3"/>
        <v>37708280.68691706</v>
      </c>
      <c r="N32" s="18">
        <f>SUM(B32:M32)</f>
        <v>448707291.99404854</v>
      </c>
      <c r="O32" s="15"/>
      <c r="P32" s="15"/>
      <c r="Q32" s="15"/>
      <c r="R32" s="11"/>
      <c r="S32" s="12"/>
      <c r="T32" s="12"/>
      <c r="U32" s="12"/>
      <c r="V32" s="12"/>
      <c r="W32" s="12"/>
      <c r="X32" s="12"/>
    </row>
    <row r="33" spans="1:24" ht="12.75">
      <c r="A33" s="13" t="s">
        <v>110</v>
      </c>
      <c r="B33" s="16">
        <f>+B8</f>
        <v>8302348</v>
      </c>
      <c r="C33" s="16">
        <f aca="true" t="shared" si="4" ref="C33:M33">+C8</f>
        <v>4307533</v>
      </c>
      <c r="D33" s="16">
        <f t="shared" si="4"/>
        <v>1948549</v>
      </c>
      <c r="E33" s="16">
        <f t="shared" si="4"/>
        <v>5342028</v>
      </c>
      <c r="F33" s="16">
        <f t="shared" si="4"/>
        <v>5724746</v>
      </c>
      <c r="G33" s="16">
        <f t="shared" si="4"/>
        <v>3570261</v>
      </c>
      <c r="H33" s="16">
        <f t="shared" si="4"/>
        <v>2978014</v>
      </c>
      <c r="I33" s="16">
        <f t="shared" si="4"/>
        <v>3471935</v>
      </c>
      <c r="J33" s="16">
        <f t="shared" si="4"/>
        <v>5770896</v>
      </c>
      <c r="K33" s="16">
        <f t="shared" si="4"/>
        <v>2455576</v>
      </c>
      <c r="L33" s="16">
        <f t="shared" si="4"/>
        <v>4318545</v>
      </c>
      <c r="M33" s="16">
        <f t="shared" si="4"/>
        <v>6097997</v>
      </c>
      <c r="N33" s="18">
        <f>SUM(B33:M33)</f>
        <v>54288428</v>
      </c>
      <c r="O33" s="15"/>
      <c r="P33" s="15"/>
      <c r="Q33" s="15"/>
      <c r="R33" s="11"/>
      <c r="S33" s="12"/>
      <c r="T33" s="12"/>
      <c r="U33" s="12"/>
      <c r="V33" s="12"/>
      <c r="W33" s="12"/>
      <c r="X33" s="12"/>
    </row>
    <row r="34" spans="1:24" ht="15">
      <c r="A34" s="13" t="s">
        <v>109</v>
      </c>
      <c r="B34" s="24">
        <f>+B9</f>
        <v>2912068.2</v>
      </c>
      <c r="C34" s="24">
        <f aca="true" t="shared" si="5" ref="C34:M34">+C9</f>
        <v>3137513.2</v>
      </c>
      <c r="D34" s="24">
        <f t="shared" si="5"/>
        <v>4356541</v>
      </c>
      <c r="E34" s="24">
        <f t="shared" si="5"/>
        <v>5620939.3</v>
      </c>
      <c r="F34" s="24">
        <f t="shared" si="5"/>
        <v>3141181.5</v>
      </c>
      <c r="G34" s="24">
        <f t="shared" si="5"/>
        <v>3463999.8</v>
      </c>
      <c r="H34" s="24">
        <f t="shared" si="5"/>
        <v>3606964.4</v>
      </c>
      <c r="I34" s="24">
        <f t="shared" si="5"/>
        <v>3131338</v>
      </c>
      <c r="J34" s="24">
        <f t="shared" si="5"/>
        <v>2500936.93</v>
      </c>
      <c r="K34" s="24">
        <f t="shared" si="5"/>
        <v>4951746.8</v>
      </c>
      <c r="L34" s="24">
        <f t="shared" si="5"/>
        <v>4578689.09</v>
      </c>
      <c r="M34" s="24">
        <f t="shared" si="5"/>
        <v>5083817</v>
      </c>
      <c r="N34" s="82">
        <f>SUM(B34:M34)</f>
        <v>46485735.22</v>
      </c>
      <c r="O34" s="15"/>
      <c r="P34" s="15"/>
      <c r="Q34" s="15"/>
      <c r="R34" s="11"/>
      <c r="S34" s="12"/>
      <c r="T34" s="12"/>
      <c r="U34" s="12"/>
      <c r="V34" s="12"/>
      <c r="W34" s="12"/>
      <c r="X34" s="12"/>
    </row>
    <row r="35" spans="1:24" ht="12.75">
      <c r="A35" s="290" t="s">
        <v>44</v>
      </c>
      <c r="B35" s="16">
        <f>SUM(B32:B34)</f>
        <v>65955750.575721204</v>
      </c>
      <c r="C35" s="16">
        <f aca="true" t="shared" si="6" ref="C35:M35">SUM(C32:C34)</f>
        <v>55202893.513522476</v>
      </c>
      <c r="D35" s="16">
        <f t="shared" si="6"/>
        <v>48122290.656973496</v>
      </c>
      <c r="E35" s="16">
        <f t="shared" si="6"/>
        <v>43543440.51045126</v>
      </c>
      <c r="F35" s="16">
        <f t="shared" si="6"/>
        <v>38682739.64731142</v>
      </c>
      <c r="G35" s="16">
        <f t="shared" si="6"/>
        <v>42606712.108233266</v>
      </c>
      <c r="H35" s="16">
        <f t="shared" si="6"/>
        <v>42037024.72759217</v>
      </c>
      <c r="I35" s="16">
        <f t="shared" si="6"/>
        <v>45086867.9686872</v>
      </c>
      <c r="J35" s="16">
        <f t="shared" si="6"/>
        <v>37722693.740434445</v>
      </c>
      <c r="K35" s="16">
        <f t="shared" si="6"/>
        <v>39779429.25128807</v>
      </c>
      <c r="L35" s="16">
        <f t="shared" si="6"/>
        <v>41851517.82691647</v>
      </c>
      <c r="M35" s="16">
        <f t="shared" si="6"/>
        <v>48890094.68691706</v>
      </c>
      <c r="N35" s="18">
        <f>SUM(B35:M35)</f>
        <v>549481455.2140485</v>
      </c>
      <c r="O35" s="15"/>
      <c r="P35" s="15"/>
      <c r="Q35" s="15"/>
      <c r="R35" s="11"/>
      <c r="S35" s="12"/>
      <c r="T35" s="12"/>
      <c r="U35" s="12"/>
      <c r="V35" s="12"/>
      <c r="W35" s="12"/>
      <c r="X35" s="12"/>
    </row>
    <row r="36" spans="1:24" ht="12.75">
      <c r="A36" s="29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  <c r="O36" s="15"/>
      <c r="P36" s="15"/>
      <c r="Q36" s="15"/>
      <c r="R36" s="11"/>
      <c r="S36" s="12"/>
      <c r="T36" s="12"/>
      <c r="U36" s="12"/>
      <c r="V36" s="12"/>
      <c r="W36" s="12"/>
      <c r="X36" s="12"/>
    </row>
    <row r="37" spans="1:24" ht="15.75">
      <c r="A37" s="292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5"/>
      <c r="O37" s="15"/>
      <c r="P37" s="15"/>
      <c r="Q37" s="15"/>
      <c r="R37" s="11"/>
      <c r="S37" s="12"/>
      <c r="T37" s="12"/>
      <c r="U37" s="12"/>
      <c r="V37" s="12"/>
      <c r="W37" s="12"/>
      <c r="X37" s="12"/>
    </row>
    <row r="38" spans="1:24" ht="12.75">
      <c r="A38" s="62" t="s">
        <v>162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5"/>
      <c r="O38" s="15"/>
      <c r="P38" s="15"/>
      <c r="Q38" s="15"/>
      <c r="R38" s="11"/>
      <c r="S38" s="12"/>
      <c r="T38" s="12"/>
      <c r="U38" s="12"/>
      <c r="V38" s="12"/>
      <c r="W38" s="12"/>
      <c r="X38" s="12"/>
    </row>
    <row r="39" spans="1:24" ht="12.75">
      <c r="A39" s="13" t="s">
        <v>169</v>
      </c>
      <c r="B39" s="16">
        <f>B$32*'Monthly Energy Allocators'!B148*$A$4*$A$2+(1-$A$2)*'Data Inputs - 2011'!C14</f>
        <v>887415.4800000001</v>
      </c>
      <c r="C39" s="16">
        <f>C$32*'Monthly Energy Allocators'!C148*$A$4*$A$2+(1-$A$2)*'Data Inputs - 2011'!D14</f>
        <v>714261.2400000001</v>
      </c>
      <c r="D39" s="16">
        <f>D$32*'Monthly Energy Allocators'!D148*$A$4*$A$2+(1-$A$2)*'Data Inputs - 2011'!E14</f>
        <v>885010.56</v>
      </c>
      <c r="E39" s="16">
        <f>E$32*'Monthly Energy Allocators'!E148*$A$4*$A$2+(1-$A$2)*'Data Inputs - 2011'!F14</f>
        <v>829697.4</v>
      </c>
      <c r="F39" s="16">
        <f>F$32*'Monthly Energy Allocators'!F148*$A$4*$A$2+(1-$A$2)*'Data Inputs - 2011'!G14</f>
        <v>887415.4800000001</v>
      </c>
      <c r="G39" s="16">
        <f>G$32*'Monthly Energy Allocators'!G148*$A$4*$A$2+(1-$A$2)*'Data Inputs - 2011'!H14</f>
        <v>829697.4</v>
      </c>
      <c r="H39" s="16">
        <f>H$32*'Monthly Energy Allocators'!H148*$A$4*$A$2+(1-$A$2)*'Data Inputs - 2011'!I14</f>
        <v>887415.4800000001</v>
      </c>
      <c r="I39" s="16">
        <f>I$32*'Monthly Energy Allocators'!I148*$A$4*$A$2+(1-$A$2)*'Data Inputs - 2011'!J14</f>
        <v>887415.4800000001</v>
      </c>
      <c r="J39" s="16">
        <f>J$32*'Monthly Energy Allocators'!J148*$A$4*$A$2+(1-$A$2)*'Data Inputs - 2011'!K14</f>
        <v>829697.4</v>
      </c>
      <c r="K39" s="16">
        <f>K$32*'Monthly Energy Allocators'!K148*$A$4*$A$2+(1-$A$2)*'Data Inputs - 2011'!L14</f>
        <v>887415.4800000001</v>
      </c>
      <c r="L39" s="16">
        <f>L$32*'Monthly Energy Allocators'!L148*$A$4*$A$2+(1-$A$2)*'Data Inputs - 2011'!M14</f>
        <v>829697.4</v>
      </c>
      <c r="M39" s="16">
        <f>M$32*'Monthly Energy Allocators'!M148*$A$4*$A$2+(1-$A$2)*'Data Inputs - 2011'!N14</f>
        <v>887415.4800000001</v>
      </c>
      <c r="N39" s="15">
        <f>SUM(B39:M39)</f>
        <v>10242554.280000003</v>
      </c>
      <c r="O39" s="15"/>
      <c r="P39" s="15"/>
      <c r="Q39" s="15"/>
      <c r="R39" s="11"/>
      <c r="S39" s="12"/>
      <c r="T39" s="12"/>
      <c r="U39" s="12"/>
      <c r="V39" s="12"/>
      <c r="W39" s="12"/>
      <c r="X39" s="12"/>
    </row>
    <row r="40" spans="1:24" ht="12.75">
      <c r="A40" s="13" t="s">
        <v>170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5"/>
      <c r="P40" s="15"/>
      <c r="Q40" s="15"/>
      <c r="R40" s="11"/>
      <c r="S40" s="12"/>
      <c r="T40" s="12"/>
      <c r="U40" s="12"/>
      <c r="V40" s="12"/>
      <c r="W40" s="12"/>
      <c r="X40" s="12"/>
    </row>
    <row r="41" spans="1:24" ht="12.75">
      <c r="A41" s="13" t="s">
        <v>172</v>
      </c>
      <c r="B41" s="16">
        <f>'BCF Allocation'!$J$32*'BCF Allocation'!$G$35*'Monthly Fuel Cost Allocation'!B$33*$A$4*$A$2</f>
        <v>0</v>
      </c>
      <c r="C41" s="16">
        <f>'BCF Allocation'!$J$32*'BCF Allocation'!$G$35*'Monthly Fuel Cost Allocation'!C$33*$A$4*$A$2</f>
        <v>0</v>
      </c>
      <c r="D41" s="16">
        <f>'BCF Allocation'!$J$32*'BCF Allocation'!$G$35*'Monthly Fuel Cost Allocation'!D$33*$A$4*$A$2</f>
        <v>0</v>
      </c>
      <c r="E41" s="16">
        <f>'BCF Allocation'!$J$32*'BCF Allocation'!$G$35*'Monthly Fuel Cost Allocation'!E$33*$A$4*$A$2</f>
        <v>0</v>
      </c>
      <c r="F41" s="16">
        <f>'BCF Allocation'!$J$32*'BCF Allocation'!$G$35*'Monthly Fuel Cost Allocation'!F$33*$A$4*$A$2</f>
        <v>0</v>
      </c>
      <c r="G41" s="16">
        <f>'BCF Allocation'!$J$32*'BCF Allocation'!$G$35*'Monthly Fuel Cost Allocation'!G$33*$A$4*$A$2</f>
        <v>0</v>
      </c>
      <c r="H41" s="16">
        <f>'BCF Allocation'!$J$32*'BCF Allocation'!$G$35*'Monthly Fuel Cost Allocation'!H$33*$A$4*$A$2</f>
        <v>0</v>
      </c>
      <c r="I41" s="16">
        <f>'BCF Allocation'!$J$32*'BCF Allocation'!$G$35*'Monthly Fuel Cost Allocation'!I$33*$A$4*$A$2</f>
        <v>0</v>
      </c>
      <c r="J41" s="16">
        <f>'BCF Allocation'!$J$32*'BCF Allocation'!$G$35*'Monthly Fuel Cost Allocation'!J$33*$A$4*$A$2</f>
        <v>0</v>
      </c>
      <c r="K41" s="16">
        <f>'BCF Allocation'!$J$32*'BCF Allocation'!$G$35*'Monthly Fuel Cost Allocation'!K$33*$A$4*$A$2</f>
        <v>0</v>
      </c>
      <c r="L41" s="16">
        <f>'BCF Allocation'!$J$32*'BCF Allocation'!$G$35*'Monthly Fuel Cost Allocation'!L$33*$A$4*$A$2</f>
        <v>0</v>
      </c>
      <c r="M41" s="16">
        <f>'BCF Allocation'!$J$32*'BCF Allocation'!$G$35*'Monthly Fuel Cost Allocation'!M$33*$A$4*$A$2</f>
        <v>0</v>
      </c>
      <c r="N41" s="15">
        <f>SUM(B41:M41)</f>
        <v>0</v>
      </c>
      <c r="O41" s="15"/>
      <c r="P41" s="15"/>
      <c r="Q41" s="15"/>
      <c r="R41" s="11"/>
      <c r="S41" s="12"/>
      <c r="T41" s="12"/>
      <c r="U41" s="12"/>
      <c r="V41" s="12"/>
      <c r="W41" s="12"/>
      <c r="X41" s="12"/>
    </row>
    <row r="42" spans="1:24" ht="12.75">
      <c r="A42" s="13" t="s">
        <v>174</v>
      </c>
      <c r="B42" s="16">
        <f>'BCF Allocation'!$M$32*'BCF Allocation'!$K$32*'BCF Allocation'!$G$35*'Monthly Fuel Cost Allocation'!B$33*$A$4*$A$2</f>
        <v>0</v>
      </c>
      <c r="C42" s="16">
        <f>'BCF Allocation'!$M$32*'BCF Allocation'!$K$32*'BCF Allocation'!$G$35*'Monthly Fuel Cost Allocation'!C$33*$A$4*$A$2</f>
        <v>0</v>
      </c>
      <c r="D42" s="16">
        <f>'BCF Allocation'!$M$32*'BCF Allocation'!$K$32*'BCF Allocation'!$G$35*'Monthly Fuel Cost Allocation'!D$33*$A$4*$A$2</f>
        <v>0</v>
      </c>
      <c r="E42" s="16">
        <f>'BCF Allocation'!$M$32*'BCF Allocation'!$K$32*'BCF Allocation'!$G$35*'Monthly Fuel Cost Allocation'!E$33*$A$4*$A$2</f>
        <v>0</v>
      </c>
      <c r="F42" s="16">
        <f>'BCF Allocation'!$M$32*'BCF Allocation'!$K$32*'BCF Allocation'!$G$35*'Monthly Fuel Cost Allocation'!F$33*$A$4*$A$2</f>
        <v>0</v>
      </c>
      <c r="G42" s="16">
        <f>'BCF Allocation'!$M$32*'BCF Allocation'!$K$32*'BCF Allocation'!$G$35*'Monthly Fuel Cost Allocation'!G$33*$A$4*$A$2</f>
        <v>0</v>
      </c>
      <c r="H42" s="16">
        <f>'BCF Allocation'!$M$32*'BCF Allocation'!$K$32*'BCF Allocation'!$G$35*'Monthly Fuel Cost Allocation'!H$33*$A$4*$A$2</f>
        <v>0</v>
      </c>
      <c r="I42" s="16">
        <f>'BCF Allocation'!$M$32*'BCF Allocation'!$K$32*'BCF Allocation'!$G$35*'Monthly Fuel Cost Allocation'!I$33*$A$4*$A$2</f>
        <v>0</v>
      </c>
      <c r="J42" s="16">
        <f>'BCF Allocation'!$M$32*'BCF Allocation'!$K$32*'BCF Allocation'!$G$35*'Monthly Fuel Cost Allocation'!J$33*$A$4*$A$2</f>
        <v>0</v>
      </c>
      <c r="K42" s="16">
        <f>'BCF Allocation'!$M$32*'BCF Allocation'!$K$32*'BCF Allocation'!$G$35*'Monthly Fuel Cost Allocation'!K$33*$A$4*$A$2</f>
        <v>0</v>
      </c>
      <c r="L42" s="16">
        <f>'BCF Allocation'!$M$32*'BCF Allocation'!$K$32*'BCF Allocation'!$G$35*'Monthly Fuel Cost Allocation'!L$33*$A$4*$A$2</f>
        <v>0</v>
      </c>
      <c r="M42" s="16">
        <f>'BCF Allocation'!$M$32*'BCF Allocation'!$K$32*'BCF Allocation'!$G$35*'Monthly Fuel Cost Allocation'!M$33*$A$4*$A$2</f>
        <v>0</v>
      </c>
      <c r="N42" s="15">
        <f>SUM(B42:M42)</f>
        <v>0</v>
      </c>
      <c r="O42" s="15"/>
      <c r="P42" s="15"/>
      <c r="Q42" s="15"/>
      <c r="R42" s="11"/>
      <c r="S42" s="12"/>
      <c r="T42" s="12"/>
      <c r="U42" s="12"/>
      <c r="V42" s="12"/>
      <c r="W42" s="12"/>
      <c r="X42" s="12"/>
    </row>
    <row r="43" spans="1:24" ht="12.75">
      <c r="A43" s="13" t="s">
        <v>173</v>
      </c>
      <c r="B43" s="24">
        <f>'BCF Allocation'!$M$32*'BCF Allocation'!$L$32*'BCF Allocation'!$E$35*'Monthly Fuel Cost Allocation'!B$33*$A$4*$A$2</f>
        <v>0</v>
      </c>
      <c r="C43" s="24">
        <f>'BCF Allocation'!$M$32*'BCF Allocation'!$L$32*'BCF Allocation'!$E$35*'Monthly Fuel Cost Allocation'!C$33*$A$4*$A$2</f>
        <v>0</v>
      </c>
      <c r="D43" s="24">
        <f>'BCF Allocation'!$M$32*'BCF Allocation'!$L$32*'BCF Allocation'!$E$35*'Monthly Fuel Cost Allocation'!D$33*$A$4*$A$2</f>
        <v>0</v>
      </c>
      <c r="E43" s="24">
        <f>'BCF Allocation'!$M$32*'BCF Allocation'!$L$32*'BCF Allocation'!$E$35*'Monthly Fuel Cost Allocation'!E$33*$A$4*$A$2</f>
        <v>0</v>
      </c>
      <c r="F43" s="24">
        <f>'BCF Allocation'!$M$32*'BCF Allocation'!$L$32*'BCF Allocation'!$E$35*'Monthly Fuel Cost Allocation'!F$33*$A$4*$A$2</f>
        <v>0</v>
      </c>
      <c r="G43" s="24">
        <f>'BCF Allocation'!$M$32*'BCF Allocation'!$L$32*'BCF Allocation'!$E$35*'Monthly Fuel Cost Allocation'!G$33*$A$4*$A$2</f>
        <v>0</v>
      </c>
      <c r="H43" s="24">
        <f>'BCF Allocation'!$M$32*'BCF Allocation'!$L$32*'BCF Allocation'!$E$35*'Monthly Fuel Cost Allocation'!H$33*$A$4*$A$2</f>
        <v>0</v>
      </c>
      <c r="I43" s="24">
        <f>'BCF Allocation'!$M$32*'BCF Allocation'!$L$32*'BCF Allocation'!$E$35*'Monthly Fuel Cost Allocation'!I$33*$A$4*$A$2</f>
        <v>0</v>
      </c>
      <c r="J43" s="24">
        <f>'BCF Allocation'!$M$32*'BCF Allocation'!$L$32*'BCF Allocation'!$E$35*'Monthly Fuel Cost Allocation'!J$33*$A$4*$A$2</f>
        <v>0</v>
      </c>
      <c r="K43" s="24">
        <f>'BCF Allocation'!$M$32*'BCF Allocation'!$L$32*'BCF Allocation'!$E$35*'Monthly Fuel Cost Allocation'!K$33*$A$4*$A$2</f>
        <v>0</v>
      </c>
      <c r="L43" s="24">
        <f>'BCF Allocation'!$M$32*'BCF Allocation'!$L$32*'BCF Allocation'!$E$35*'Monthly Fuel Cost Allocation'!L$33*$A$4*$A$2</f>
        <v>0</v>
      </c>
      <c r="M43" s="24">
        <f>'BCF Allocation'!$M$32*'BCF Allocation'!$L$32*'BCF Allocation'!$E$35*'Monthly Fuel Cost Allocation'!M$33*$A$4*$A$2</f>
        <v>0</v>
      </c>
      <c r="N43" s="83">
        <f>SUM(B43:M43)</f>
        <v>0</v>
      </c>
      <c r="O43" s="15"/>
      <c r="P43" s="15"/>
      <c r="Q43" s="15"/>
      <c r="R43" s="11"/>
      <c r="S43" s="12"/>
      <c r="T43" s="12"/>
      <c r="U43" s="12"/>
      <c r="V43" s="12"/>
      <c r="W43" s="12"/>
      <c r="X43" s="12"/>
    </row>
    <row r="44" spans="1:24" ht="12.75">
      <c r="A44" s="13" t="s">
        <v>176</v>
      </c>
      <c r="B44" s="16">
        <f>SUM(B41:B43)</f>
        <v>0</v>
      </c>
      <c r="C44" s="16">
        <f aca="true" t="shared" si="7" ref="C44:M44">SUM(C41:C43)</f>
        <v>0</v>
      </c>
      <c r="D44" s="16">
        <f t="shared" si="7"/>
        <v>0</v>
      </c>
      <c r="E44" s="16">
        <f t="shared" si="7"/>
        <v>0</v>
      </c>
      <c r="F44" s="16">
        <f t="shared" si="7"/>
        <v>0</v>
      </c>
      <c r="G44" s="16">
        <f t="shared" si="7"/>
        <v>0</v>
      </c>
      <c r="H44" s="16">
        <f t="shared" si="7"/>
        <v>0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5">
        <f>SUM(B44:M44)</f>
        <v>0</v>
      </c>
      <c r="O44" s="15"/>
      <c r="P44" s="15"/>
      <c r="Q44" s="15"/>
      <c r="R44" s="11"/>
      <c r="S44" s="12"/>
      <c r="T44" s="12"/>
      <c r="U44" s="12"/>
      <c r="V44" s="12"/>
      <c r="W44" s="12"/>
      <c r="X44" s="12"/>
    </row>
    <row r="45" spans="1:24" ht="12.75">
      <c r="A45" s="13" t="s">
        <v>171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5"/>
      <c r="O45" s="15"/>
      <c r="P45" s="15"/>
      <c r="Q45" s="15"/>
      <c r="R45" s="11"/>
      <c r="S45" s="12"/>
      <c r="T45" s="12"/>
      <c r="U45" s="12"/>
      <c r="V45" s="12"/>
      <c r="W45" s="12"/>
      <c r="X45" s="12"/>
    </row>
    <row r="46" spans="1:24" ht="12.75">
      <c r="A46" s="13" t="s">
        <v>172</v>
      </c>
      <c r="B46" s="16">
        <f>'BCF Allocation'!$O$32*'BCF Allocation'!$G$35*'Monthly Fuel Cost Allocation'!B$34*$A$4*$A$2</f>
        <v>0</v>
      </c>
      <c r="C46" s="16">
        <f>'BCF Allocation'!$O$32*'BCF Allocation'!$G$35*'Monthly Fuel Cost Allocation'!C$34*$A$4*$A$2</f>
        <v>0</v>
      </c>
      <c r="D46" s="16">
        <f>'BCF Allocation'!$O$32*'BCF Allocation'!$G$35*'Monthly Fuel Cost Allocation'!D$34*$A$4*$A$2</f>
        <v>0</v>
      </c>
      <c r="E46" s="16">
        <f>'BCF Allocation'!$O$32*'BCF Allocation'!$G$35*'Monthly Fuel Cost Allocation'!E$34*$A$4*$A$2</f>
        <v>0</v>
      </c>
      <c r="F46" s="16">
        <f>'BCF Allocation'!$O$32*'BCF Allocation'!$G$35*'Monthly Fuel Cost Allocation'!F$34*$A$4*$A$2</f>
        <v>0</v>
      </c>
      <c r="G46" s="16">
        <f>'BCF Allocation'!$O$32*'BCF Allocation'!$G$35*'Monthly Fuel Cost Allocation'!G$34*$A$4*$A$2</f>
        <v>0</v>
      </c>
      <c r="H46" s="16">
        <f>'BCF Allocation'!$O$32*'BCF Allocation'!$G$35*'Monthly Fuel Cost Allocation'!H$34*$A$4*$A$2</f>
        <v>0</v>
      </c>
      <c r="I46" s="16">
        <f>'BCF Allocation'!$O$32*'BCF Allocation'!$G$35*'Monthly Fuel Cost Allocation'!I$34*$A$4*$A$2</f>
        <v>0</v>
      </c>
      <c r="J46" s="16">
        <f>'BCF Allocation'!$O$32*'BCF Allocation'!$G$35*'Monthly Fuel Cost Allocation'!J$34*$A$4*$A$2</f>
        <v>0</v>
      </c>
      <c r="K46" s="16">
        <f>'BCF Allocation'!$O$32*'BCF Allocation'!$G$35*'Monthly Fuel Cost Allocation'!K$34*$A$4*$A$2</f>
        <v>0</v>
      </c>
      <c r="L46" s="16">
        <f>'BCF Allocation'!$O$32*'BCF Allocation'!$G$35*'Monthly Fuel Cost Allocation'!L$34*$A$4*$A$2</f>
        <v>0</v>
      </c>
      <c r="M46" s="16">
        <f>'BCF Allocation'!$O$32*'BCF Allocation'!$G$35*'Monthly Fuel Cost Allocation'!M$34*$A$4*$A$2</f>
        <v>0</v>
      </c>
      <c r="N46" s="15">
        <f>SUM(B46:M46)</f>
        <v>0</v>
      </c>
      <c r="O46" s="15"/>
      <c r="P46" s="15"/>
      <c r="Q46" s="15"/>
      <c r="R46" s="11"/>
      <c r="S46" s="12"/>
      <c r="T46" s="12"/>
      <c r="U46" s="12"/>
      <c r="V46" s="12"/>
      <c r="W46" s="12"/>
      <c r="X46" s="12"/>
    </row>
    <row r="47" spans="1:24" ht="12.75">
      <c r="A47" s="13" t="s">
        <v>174</v>
      </c>
      <c r="B47" s="16">
        <f>'BCF Allocation'!$R$32*'BCF Allocation'!$P$32*'BCF Allocation'!$G$35*'Monthly Fuel Cost Allocation'!B$34*$A$4*$A$2</f>
        <v>0</v>
      </c>
      <c r="C47" s="16">
        <f>'BCF Allocation'!$R$32*'BCF Allocation'!$P$32*'BCF Allocation'!$G$35*'Monthly Fuel Cost Allocation'!C$34*$A$4*$A$2</f>
        <v>0</v>
      </c>
      <c r="D47" s="16">
        <f>'BCF Allocation'!$R$32*'BCF Allocation'!$P$32*'BCF Allocation'!$G$35*'Monthly Fuel Cost Allocation'!D$34*$A$4*$A$2</f>
        <v>0</v>
      </c>
      <c r="E47" s="16">
        <f>'BCF Allocation'!$R$32*'BCF Allocation'!$P$32*'BCF Allocation'!$G$35*'Monthly Fuel Cost Allocation'!E$34*$A$4*$A$2</f>
        <v>0</v>
      </c>
      <c r="F47" s="16">
        <f>'BCF Allocation'!$R$32*'BCF Allocation'!$P$32*'BCF Allocation'!$G$35*'Monthly Fuel Cost Allocation'!F$34*$A$4*$A$2</f>
        <v>0</v>
      </c>
      <c r="G47" s="16">
        <f>'BCF Allocation'!$R$32*'BCF Allocation'!$P$32*'BCF Allocation'!$G$35*'Monthly Fuel Cost Allocation'!G$34*$A$4*$A$2</f>
        <v>0</v>
      </c>
      <c r="H47" s="16">
        <f>'BCF Allocation'!$R$32*'BCF Allocation'!$P$32*'BCF Allocation'!$G$35*'Monthly Fuel Cost Allocation'!H$34*$A$4*$A$2</f>
        <v>0</v>
      </c>
      <c r="I47" s="16">
        <f>'BCF Allocation'!$R$32*'BCF Allocation'!$P$32*'BCF Allocation'!$G$35*'Monthly Fuel Cost Allocation'!I$34*$A$4*$A$2</f>
        <v>0</v>
      </c>
      <c r="J47" s="16">
        <f>'BCF Allocation'!$R$32*'BCF Allocation'!$P$32*'BCF Allocation'!$G$35*'Monthly Fuel Cost Allocation'!J$34*$A$4*$A$2</f>
        <v>0</v>
      </c>
      <c r="K47" s="16">
        <f>'BCF Allocation'!$R$32*'BCF Allocation'!$P$32*'BCF Allocation'!$G$35*'Monthly Fuel Cost Allocation'!K$34*$A$4*$A$2</f>
        <v>0</v>
      </c>
      <c r="L47" s="16">
        <f>'BCF Allocation'!$R$32*'BCF Allocation'!$P$32*'BCF Allocation'!$G$35*'Monthly Fuel Cost Allocation'!L$34*$A$4*$A$2</f>
        <v>0</v>
      </c>
      <c r="M47" s="16">
        <f>'BCF Allocation'!$R$32*'BCF Allocation'!$P$32*'BCF Allocation'!$G$35*'Monthly Fuel Cost Allocation'!M$34*$A$4*$A$2</f>
        <v>0</v>
      </c>
      <c r="N47" s="15">
        <f>SUM(B47:M47)</f>
        <v>0</v>
      </c>
      <c r="O47" s="15"/>
      <c r="P47" s="15"/>
      <c r="Q47" s="15"/>
      <c r="R47" s="11"/>
      <c r="S47" s="12"/>
      <c r="T47" s="12"/>
      <c r="U47" s="12"/>
      <c r="V47" s="12"/>
      <c r="W47" s="12"/>
      <c r="X47" s="12"/>
    </row>
    <row r="48" spans="1:24" ht="12.75">
      <c r="A48" s="13" t="s">
        <v>173</v>
      </c>
      <c r="B48" s="24">
        <f>'BCF Allocation'!$R$32*'BCF Allocation'!$Q$32*'BCF Allocation'!$E$35*'Monthly Fuel Cost Allocation'!B$34*$A$4*$A$2</f>
        <v>0</v>
      </c>
      <c r="C48" s="24">
        <f>'BCF Allocation'!$R$32*'BCF Allocation'!$Q$32*'BCF Allocation'!$E$35*'Monthly Fuel Cost Allocation'!C$34*$A$4*$A$2</f>
        <v>0</v>
      </c>
      <c r="D48" s="24">
        <f>'BCF Allocation'!$R$32*'BCF Allocation'!$Q$32*'BCF Allocation'!$E$35*'Monthly Fuel Cost Allocation'!D$34*$A$4*$A$2</f>
        <v>0</v>
      </c>
      <c r="E48" s="24">
        <f>'BCF Allocation'!$R$32*'BCF Allocation'!$Q$32*'BCF Allocation'!$E$35*'Monthly Fuel Cost Allocation'!E$34*$A$4*$A$2</f>
        <v>0</v>
      </c>
      <c r="F48" s="24">
        <f>'BCF Allocation'!$R$32*'BCF Allocation'!$Q$32*'BCF Allocation'!$E$35*'Monthly Fuel Cost Allocation'!F$34*$A$4*$A$2</f>
        <v>0</v>
      </c>
      <c r="G48" s="24">
        <f>'BCF Allocation'!$R$32*'BCF Allocation'!$Q$32*'BCF Allocation'!$E$35*'Monthly Fuel Cost Allocation'!G$34*$A$4*$A$2</f>
        <v>0</v>
      </c>
      <c r="H48" s="24">
        <f>'BCF Allocation'!$R$32*'BCF Allocation'!$Q$32*'BCF Allocation'!$E$35*'Monthly Fuel Cost Allocation'!H$34*$A$4*$A$2</f>
        <v>0</v>
      </c>
      <c r="I48" s="24">
        <f>'BCF Allocation'!$R$32*'BCF Allocation'!$Q$32*'BCF Allocation'!$E$35*'Monthly Fuel Cost Allocation'!I$34*$A$4*$A$2</f>
        <v>0</v>
      </c>
      <c r="J48" s="24">
        <f>'BCF Allocation'!$R$32*'BCF Allocation'!$Q$32*'BCF Allocation'!$E$35*'Monthly Fuel Cost Allocation'!J$34*$A$4*$A$2</f>
        <v>0</v>
      </c>
      <c r="K48" s="24">
        <f>'BCF Allocation'!$R$32*'BCF Allocation'!$Q$32*'BCF Allocation'!$E$35*'Monthly Fuel Cost Allocation'!K$34*$A$4*$A$2</f>
        <v>0</v>
      </c>
      <c r="L48" s="24">
        <f>'BCF Allocation'!$R$32*'BCF Allocation'!$Q$32*'BCF Allocation'!$E$35*'Monthly Fuel Cost Allocation'!L$34*$A$4*$A$2</f>
        <v>0</v>
      </c>
      <c r="M48" s="24">
        <f>'BCF Allocation'!$R$32*'BCF Allocation'!$Q$32*'BCF Allocation'!$E$35*'Monthly Fuel Cost Allocation'!M$34*$A$4*$A$2</f>
        <v>0</v>
      </c>
      <c r="N48" s="83">
        <f>SUM(B48:M48)</f>
        <v>0</v>
      </c>
      <c r="O48" s="15"/>
      <c r="P48" s="15"/>
      <c r="Q48" s="15"/>
      <c r="R48" s="11"/>
      <c r="S48" s="12"/>
      <c r="T48" s="12"/>
      <c r="U48" s="12"/>
      <c r="V48" s="12"/>
      <c r="W48" s="12"/>
      <c r="X48" s="12"/>
    </row>
    <row r="49" spans="1:24" ht="12.75">
      <c r="A49" s="13" t="s">
        <v>176</v>
      </c>
      <c r="B49" s="16">
        <f>SUM(B46:B48)</f>
        <v>0</v>
      </c>
      <c r="C49" s="16">
        <f aca="true" t="shared" si="8" ref="C49:M49">SUM(C46:C48)</f>
        <v>0</v>
      </c>
      <c r="D49" s="16">
        <f t="shared" si="8"/>
        <v>0</v>
      </c>
      <c r="E49" s="16">
        <f t="shared" si="8"/>
        <v>0</v>
      </c>
      <c r="F49" s="16">
        <f t="shared" si="8"/>
        <v>0</v>
      </c>
      <c r="G49" s="16">
        <f t="shared" si="8"/>
        <v>0</v>
      </c>
      <c r="H49" s="16">
        <f t="shared" si="8"/>
        <v>0</v>
      </c>
      <c r="I49" s="16">
        <f t="shared" si="8"/>
        <v>0</v>
      </c>
      <c r="J49" s="16">
        <f t="shared" si="8"/>
        <v>0</v>
      </c>
      <c r="K49" s="16">
        <f t="shared" si="8"/>
        <v>0</v>
      </c>
      <c r="L49" s="16">
        <f t="shared" si="8"/>
        <v>0</v>
      </c>
      <c r="M49" s="16">
        <f t="shared" si="8"/>
        <v>0</v>
      </c>
      <c r="N49" s="15">
        <f>SUM(B49:M49)</f>
        <v>0</v>
      </c>
      <c r="O49" s="15"/>
      <c r="P49" s="15"/>
      <c r="Q49" s="15"/>
      <c r="R49" s="11"/>
      <c r="S49" s="12"/>
      <c r="T49" s="12"/>
      <c r="U49" s="12"/>
      <c r="V49" s="12"/>
      <c r="W49" s="12"/>
      <c r="X49" s="12"/>
    </row>
    <row r="50" spans="1:24" ht="5.2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5"/>
      <c r="O50" s="15"/>
      <c r="P50" s="15"/>
      <c r="Q50" s="15"/>
      <c r="R50" s="11"/>
      <c r="S50" s="12"/>
      <c r="T50" s="12"/>
      <c r="U50" s="12"/>
      <c r="V50" s="12"/>
      <c r="W50" s="12"/>
      <c r="X50" s="12"/>
    </row>
    <row r="51" spans="1:24" ht="12.75">
      <c r="A51" s="13" t="s">
        <v>175</v>
      </c>
      <c r="B51" s="16">
        <f>+B39+B44+B49</f>
        <v>887415.4800000001</v>
      </c>
      <c r="C51" s="16">
        <f aca="true" t="shared" si="9" ref="C51:M51">+C39+C44+C49</f>
        <v>714261.2400000001</v>
      </c>
      <c r="D51" s="16">
        <f t="shared" si="9"/>
        <v>885010.56</v>
      </c>
      <c r="E51" s="16">
        <f t="shared" si="9"/>
        <v>829697.4</v>
      </c>
      <c r="F51" s="16">
        <f t="shared" si="9"/>
        <v>887415.4800000001</v>
      </c>
      <c r="G51" s="16">
        <f t="shared" si="9"/>
        <v>829697.4</v>
      </c>
      <c r="H51" s="16">
        <f t="shared" si="9"/>
        <v>887415.4800000001</v>
      </c>
      <c r="I51" s="16">
        <f t="shared" si="9"/>
        <v>887415.4800000001</v>
      </c>
      <c r="J51" s="16">
        <f t="shared" si="9"/>
        <v>829697.4</v>
      </c>
      <c r="K51" s="16">
        <f t="shared" si="9"/>
        <v>887415.4800000001</v>
      </c>
      <c r="L51" s="16">
        <f t="shared" si="9"/>
        <v>829697.4</v>
      </c>
      <c r="M51" s="16">
        <f t="shared" si="9"/>
        <v>887415.4800000001</v>
      </c>
      <c r="N51" s="15">
        <f>SUM(B51:M51)</f>
        <v>10242554.280000003</v>
      </c>
      <c r="O51" s="15"/>
      <c r="P51" s="15"/>
      <c r="Q51" s="15"/>
      <c r="R51" s="11"/>
      <c r="S51" s="12"/>
      <c r="T51" s="12"/>
      <c r="U51" s="12"/>
      <c r="V51" s="12"/>
      <c r="W51" s="12"/>
      <c r="X51" s="12"/>
    </row>
    <row r="52" spans="1:24" ht="12.7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5"/>
      <c r="O52" s="15"/>
      <c r="P52" s="15"/>
      <c r="Q52" s="15"/>
      <c r="R52" s="11"/>
      <c r="S52" s="12"/>
      <c r="T52" s="12"/>
      <c r="U52" s="12"/>
      <c r="V52" s="12"/>
      <c r="W52" s="12"/>
      <c r="X52" s="12"/>
    </row>
    <row r="53" spans="1:24" ht="12.75">
      <c r="A53" s="62" t="s">
        <v>163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5"/>
      <c r="O53" s="15"/>
      <c r="P53" s="15"/>
      <c r="Q53" s="15"/>
      <c r="R53" s="11"/>
      <c r="S53" s="12"/>
      <c r="T53" s="12"/>
      <c r="U53" s="12"/>
      <c r="V53" s="12"/>
      <c r="W53" s="12"/>
      <c r="X53" s="12"/>
    </row>
    <row r="54" spans="1:24" ht="12.75">
      <c r="A54" s="13" t="s">
        <v>169</v>
      </c>
      <c r="B54" s="16">
        <f>B$32*'Monthly Energy Allocators'!B149*$A$2</f>
        <v>0</v>
      </c>
      <c r="C54" s="16">
        <f>C$32*'Monthly Energy Allocators'!C149*$A$2</f>
        <v>0</v>
      </c>
      <c r="D54" s="16">
        <f>D$32*'Monthly Energy Allocators'!D149*$A$2</f>
        <v>0</v>
      </c>
      <c r="E54" s="16">
        <f>E$32*'Monthly Energy Allocators'!E149*$A$2</f>
        <v>0</v>
      </c>
      <c r="F54" s="16">
        <f>F$32*'Monthly Energy Allocators'!F149*$A$2</f>
        <v>0</v>
      </c>
      <c r="G54" s="16">
        <f>G$32*'Monthly Energy Allocators'!G149*$A$2</f>
        <v>0</v>
      </c>
      <c r="H54" s="16">
        <f>H$32*'Monthly Energy Allocators'!H149*$A$2</f>
        <v>0</v>
      </c>
      <c r="I54" s="16">
        <f>I$32*'Monthly Energy Allocators'!I149*$A$2</f>
        <v>0</v>
      </c>
      <c r="J54" s="16">
        <f>J$32*'Monthly Energy Allocators'!J149*$A$2</f>
        <v>0</v>
      </c>
      <c r="K54" s="16">
        <f>K$32*'Monthly Energy Allocators'!K149*$A$2</f>
        <v>0</v>
      </c>
      <c r="L54" s="16">
        <f>L$32*'Monthly Energy Allocators'!L149*$A$2</f>
        <v>0</v>
      </c>
      <c r="M54" s="16">
        <f>M$32*'Monthly Energy Allocators'!M149*$A$2</f>
        <v>0</v>
      </c>
      <c r="N54" s="15">
        <f>SUM(B54:M54)</f>
        <v>0</v>
      </c>
      <c r="O54" s="15"/>
      <c r="P54" s="15"/>
      <c r="Q54" s="15"/>
      <c r="R54" s="11"/>
      <c r="S54" s="12"/>
      <c r="T54" s="12"/>
      <c r="U54" s="12"/>
      <c r="V54" s="12"/>
      <c r="W54" s="12"/>
      <c r="X54" s="12"/>
    </row>
    <row r="55" spans="1:24" ht="12.75">
      <c r="A55" s="13" t="s">
        <v>170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5"/>
      <c r="O55" s="15"/>
      <c r="P55" s="15"/>
      <c r="Q55" s="15"/>
      <c r="R55" s="11"/>
      <c r="S55" s="12"/>
      <c r="T55" s="12"/>
      <c r="U55" s="12"/>
      <c r="V55" s="12"/>
      <c r="W55" s="12"/>
      <c r="X55" s="12"/>
    </row>
    <row r="56" spans="1:24" ht="12.75">
      <c r="A56" s="13" t="s">
        <v>172</v>
      </c>
      <c r="B56" s="16">
        <f>'BCF Allocation'!$J$32*'BCF Allocation'!$G$36*'Monthly Fuel Cost Allocation'!B$33*$A$2</f>
        <v>0</v>
      </c>
      <c r="C56" s="16">
        <f>'BCF Allocation'!$J$32*'BCF Allocation'!$G$36*'Monthly Fuel Cost Allocation'!C$33*$A$2</f>
        <v>0</v>
      </c>
      <c r="D56" s="16">
        <f>'BCF Allocation'!$J$32*'BCF Allocation'!$G$36*'Monthly Fuel Cost Allocation'!D$33*$A$2</f>
        <v>0</v>
      </c>
      <c r="E56" s="16">
        <f>'BCF Allocation'!$J$32*'BCF Allocation'!$G$36*'Monthly Fuel Cost Allocation'!E$33*$A$2</f>
        <v>0</v>
      </c>
      <c r="F56" s="16">
        <f>'BCF Allocation'!$J$32*'BCF Allocation'!$G$36*'Monthly Fuel Cost Allocation'!F$33*$A$2</f>
        <v>0</v>
      </c>
      <c r="G56" s="16">
        <f>'BCF Allocation'!$J$32*'BCF Allocation'!$G$36*'Monthly Fuel Cost Allocation'!G$33*$A$2</f>
        <v>0</v>
      </c>
      <c r="H56" s="16">
        <f>'BCF Allocation'!$J$32*'BCF Allocation'!$G$36*'Monthly Fuel Cost Allocation'!H$33*$A$2</f>
        <v>0</v>
      </c>
      <c r="I56" s="16">
        <f>'BCF Allocation'!$J$32*'BCF Allocation'!$G$36*'Monthly Fuel Cost Allocation'!I$33*$A$2</f>
        <v>0</v>
      </c>
      <c r="J56" s="16">
        <f>'BCF Allocation'!$J$32*'BCF Allocation'!$G$36*'Monthly Fuel Cost Allocation'!J$33*$A$2</f>
        <v>0</v>
      </c>
      <c r="K56" s="16">
        <f>'BCF Allocation'!$J$32*'BCF Allocation'!$G$36*'Monthly Fuel Cost Allocation'!K$33*$A$2</f>
        <v>0</v>
      </c>
      <c r="L56" s="16">
        <f>'BCF Allocation'!$J$32*'BCF Allocation'!$G$36*'Monthly Fuel Cost Allocation'!L$33*$A$2</f>
        <v>0</v>
      </c>
      <c r="M56" s="16">
        <f>'BCF Allocation'!$J$32*'BCF Allocation'!$G$36*'Monthly Fuel Cost Allocation'!M$33*$A$2</f>
        <v>0</v>
      </c>
      <c r="N56" s="15">
        <f>SUM(B56:M56)</f>
        <v>0</v>
      </c>
      <c r="O56" s="15"/>
      <c r="P56" s="15"/>
      <c r="Q56" s="15"/>
      <c r="R56" s="11"/>
      <c r="S56" s="12"/>
      <c r="T56" s="12"/>
      <c r="U56" s="12"/>
      <c r="V56" s="12"/>
      <c r="W56" s="12"/>
      <c r="X56" s="12"/>
    </row>
    <row r="57" spans="1:24" ht="12.75">
      <c r="A57" s="13" t="s">
        <v>174</v>
      </c>
      <c r="B57" s="16">
        <f>'BCF Allocation'!$M$32*'BCF Allocation'!$K$32*'BCF Allocation'!$G$36*'Monthly Fuel Cost Allocation'!B$33*$A$2</f>
        <v>0</v>
      </c>
      <c r="C57" s="16">
        <f>'BCF Allocation'!$M$32*'BCF Allocation'!$K$32*'BCF Allocation'!$G$36*'Monthly Fuel Cost Allocation'!C$33*$A$2</f>
        <v>0</v>
      </c>
      <c r="D57" s="16">
        <f>'BCF Allocation'!$M$32*'BCF Allocation'!$K$32*'BCF Allocation'!$G$36*'Monthly Fuel Cost Allocation'!D$33*$A$2</f>
        <v>0</v>
      </c>
      <c r="E57" s="16">
        <f>'BCF Allocation'!$M$32*'BCF Allocation'!$K$32*'BCF Allocation'!$G$36*'Monthly Fuel Cost Allocation'!E$33*$A$2</f>
        <v>0</v>
      </c>
      <c r="F57" s="16">
        <f>'BCF Allocation'!$M$32*'BCF Allocation'!$K$32*'BCF Allocation'!$G$36*'Monthly Fuel Cost Allocation'!F$33*$A$2</f>
        <v>0</v>
      </c>
      <c r="G57" s="16">
        <f>'BCF Allocation'!$M$32*'BCF Allocation'!$K$32*'BCF Allocation'!$G$36*'Monthly Fuel Cost Allocation'!G$33*$A$2</f>
        <v>0</v>
      </c>
      <c r="H57" s="16">
        <f>'BCF Allocation'!$M$32*'BCF Allocation'!$K$32*'BCF Allocation'!$G$36*'Monthly Fuel Cost Allocation'!H$33*$A$2</f>
        <v>0</v>
      </c>
      <c r="I57" s="16">
        <f>'BCF Allocation'!$M$32*'BCF Allocation'!$K$32*'BCF Allocation'!$G$36*'Monthly Fuel Cost Allocation'!I$33*$A$2</f>
        <v>0</v>
      </c>
      <c r="J57" s="16">
        <f>'BCF Allocation'!$M$32*'BCF Allocation'!$K$32*'BCF Allocation'!$G$36*'Monthly Fuel Cost Allocation'!J$33*$A$2</f>
        <v>0</v>
      </c>
      <c r="K57" s="16">
        <f>'BCF Allocation'!$M$32*'BCF Allocation'!$K$32*'BCF Allocation'!$G$36*'Monthly Fuel Cost Allocation'!K$33*$A$2</f>
        <v>0</v>
      </c>
      <c r="L57" s="16">
        <f>'BCF Allocation'!$M$32*'BCF Allocation'!$K$32*'BCF Allocation'!$G$36*'Monthly Fuel Cost Allocation'!L$33*$A$2</f>
        <v>0</v>
      </c>
      <c r="M57" s="16">
        <f>'BCF Allocation'!$M$32*'BCF Allocation'!$K$32*'BCF Allocation'!$G$36*'Monthly Fuel Cost Allocation'!M$33*$A$2</f>
        <v>0</v>
      </c>
      <c r="N57" s="15">
        <f>SUM(B57:M57)</f>
        <v>0</v>
      </c>
      <c r="O57" s="15"/>
      <c r="P57" s="15"/>
      <c r="Q57" s="15"/>
      <c r="R57" s="11"/>
      <c r="S57" s="12"/>
      <c r="T57" s="12"/>
      <c r="U57" s="12"/>
      <c r="V57" s="12"/>
      <c r="W57" s="12"/>
      <c r="X57" s="12"/>
    </row>
    <row r="58" spans="1:24" ht="12.75">
      <c r="A58" s="13" t="s">
        <v>173</v>
      </c>
      <c r="B58" s="24">
        <f>'BCF Allocation'!$M$32*'BCF Allocation'!$L$32*'BCF Allocation'!$E$36*'Monthly Fuel Cost Allocation'!B$33*$A$2</f>
        <v>0</v>
      </c>
      <c r="C58" s="24">
        <f>'BCF Allocation'!$M$32*'BCF Allocation'!$L$32*'BCF Allocation'!$E$36*'Monthly Fuel Cost Allocation'!C$33*$A$2</f>
        <v>0</v>
      </c>
      <c r="D58" s="24">
        <f>'BCF Allocation'!$M$32*'BCF Allocation'!$L$32*'BCF Allocation'!$E$36*'Monthly Fuel Cost Allocation'!D$33*$A$2</f>
        <v>0</v>
      </c>
      <c r="E58" s="24">
        <f>'BCF Allocation'!$M$32*'BCF Allocation'!$L$32*'BCF Allocation'!$E$36*'Monthly Fuel Cost Allocation'!E$33*$A$2</f>
        <v>0</v>
      </c>
      <c r="F58" s="24">
        <f>'BCF Allocation'!$M$32*'BCF Allocation'!$L$32*'BCF Allocation'!$E$36*'Monthly Fuel Cost Allocation'!F$33*$A$2</f>
        <v>0</v>
      </c>
      <c r="G58" s="24">
        <f>'BCF Allocation'!$M$32*'BCF Allocation'!$L$32*'BCF Allocation'!$E$36*'Monthly Fuel Cost Allocation'!G$33*$A$2</f>
        <v>0</v>
      </c>
      <c r="H58" s="24">
        <f>'BCF Allocation'!$M$32*'BCF Allocation'!$L$32*'BCF Allocation'!$E$36*'Monthly Fuel Cost Allocation'!H$33*$A$2</f>
        <v>0</v>
      </c>
      <c r="I58" s="24">
        <f>'BCF Allocation'!$M$32*'BCF Allocation'!$L$32*'BCF Allocation'!$E$36*'Monthly Fuel Cost Allocation'!I$33*$A$2</f>
        <v>0</v>
      </c>
      <c r="J58" s="24">
        <f>'BCF Allocation'!$M$32*'BCF Allocation'!$L$32*'BCF Allocation'!$E$36*'Monthly Fuel Cost Allocation'!J$33*$A$2</f>
        <v>0</v>
      </c>
      <c r="K58" s="24">
        <f>'BCF Allocation'!$M$32*'BCF Allocation'!$L$32*'BCF Allocation'!$E$36*'Monthly Fuel Cost Allocation'!K$33*$A$2</f>
        <v>0</v>
      </c>
      <c r="L58" s="24">
        <f>'BCF Allocation'!$M$32*'BCF Allocation'!$L$32*'BCF Allocation'!$E$36*'Monthly Fuel Cost Allocation'!L$33*$A$2</f>
        <v>0</v>
      </c>
      <c r="M58" s="24">
        <f>'BCF Allocation'!$M$32*'BCF Allocation'!$L$32*'BCF Allocation'!$E$36*'Monthly Fuel Cost Allocation'!M$33*$A$2</f>
        <v>0</v>
      </c>
      <c r="N58" s="83">
        <f>SUM(B58:M58)</f>
        <v>0</v>
      </c>
      <c r="O58" s="15"/>
      <c r="P58" s="15"/>
      <c r="Q58" s="15"/>
      <c r="R58" s="11"/>
      <c r="S58" s="12"/>
      <c r="T58" s="12"/>
      <c r="U58" s="12"/>
      <c r="V58" s="12"/>
      <c r="W58" s="12"/>
      <c r="X58" s="12"/>
    </row>
    <row r="59" spans="1:24" ht="12.75">
      <c r="A59" s="13" t="s">
        <v>176</v>
      </c>
      <c r="B59" s="16">
        <f aca="true" t="shared" si="10" ref="B59:M59">SUM(B56:B58)</f>
        <v>0</v>
      </c>
      <c r="C59" s="16">
        <f t="shared" si="10"/>
        <v>0</v>
      </c>
      <c r="D59" s="16">
        <f t="shared" si="10"/>
        <v>0</v>
      </c>
      <c r="E59" s="16">
        <f t="shared" si="10"/>
        <v>0</v>
      </c>
      <c r="F59" s="16">
        <f t="shared" si="10"/>
        <v>0</v>
      </c>
      <c r="G59" s="16">
        <f t="shared" si="10"/>
        <v>0</v>
      </c>
      <c r="H59" s="16">
        <f t="shared" si="10"/>
        <v>0</v>
      </c>
      <c r="I59" s="16">
        <f t="shared" si="10"/>
        <v>0</v>
      </c>
      <c r="J59" s="16">
        <f t="shared" si="10"/>
        <v>0</v>
      </c>
      <c r="K59" s="16">
        <f t="shared" si="10"/>
        <v>0</v>
      </c>
      <c r="L59" s="16">
        <f t="shared" si="10"/>
        <v>0</v>
      </c>
      <c r="M59" s="16">
        <f t="shared" si="10"/>
        <v>0</v>
      </c>
      <c r="N59" s="15">
        <f>SUM(B59:M59)</f>
        <v>0</v>
      </c>
      <c r="O59" s="15"/>
      <c r="P59" s="15"/>
      <c r="Q59" s="15"/>
      <c r="R59" s="11"/>
      <c r="S59" s="12"/>
      <c r="T59" s="12"/>
      <c r="U59" s="12"/>
      <c r="V59" s="12"/>
      <c r="W59" s="12"/>
      <c r="X59" s="12"/>
    </row>
    <row r="60" spans="1:24" ht="12.75">
      <c r="A60" s="13" t="s">
        <v>171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15"/>
      <c r="P60" s="15"/>
      <c r="Q60" s="15"/>
      <c r="R60" s="11"/>
      <c r="S60" s="12"/>
      <c r="T60" s="12"/>
      <c r="U60" s="12"/>
      <c r="V60" s="12"/>
      <c r="W60" s="12"/>
      <c r="X60" s="12"/>
    </row>
    <row r="61" spans="1:24" ht="12.75">
      <c r="A61" s="13" t="s">
        <v>172</v>
      </c>
      <c r="B61" s="16">
        <f>'BCF Allocation'!$O$32*'BCF Allocation'!$G$36*'Monthly Fuel Cost Allocation'!B$34*$A$2</f>
        <v>0</v>
      </c>
      <c r="C61" s="16">
        <f>'BCF Allocation'!$O$32*'BCF Allocation'!$G$36*'Monthly Fuel Cost Allocation'!C$34*$A$2</f>
        <v>0</v>
      </c>
      <c r="D61" s="16">
        <f>'BCF Allocation'!$O$32*'BCF Allocation'!$G$36*'Monthly Fuel Cost Allocation'!D$34*$A$2</f>
        <v>0</v>
      </c>
      <c r="E61" s="16">
        <f>'BCF Allocation'!$O$32*'BCF Allocation'!$G$36*'Monthly Fuel Cost Allocation'!E$34*$A$2</f>
        <v>0</v>
      </c>
      <c r="F61" s="16">
        <f>'BCF Allocation'!$O$32*'BCF Allocation'!$G$36*'Monthly Fuel Cost Allocation'!F$34*$A$2</f>
        <v>0</v>
      </c>
      <c r="G61" s="16">
        <f>'BCF Allocation'!$O$32*'BCF Allocation'!$G$36*'Monthly Fuel Cost Allocation'!G$34*$A$2</f>
        <v>0</v>
      </c>
      <c r="H61" s="16">
        <f>'BCF Allocation'!$O$32*'BCF Allocation'!$G$36*'Monthly Fuel Cost Allocation'!H$34*$A$2</f>
        <v>0</v>
      </c>
      <c r="I61" s="16">
        <f>'BCF Allocation'!$O$32*'BCF Allocation'!$G$36*'Monthly Fuel Cost Allocation'!I$34*$A$2</f>
        <v>0</v>
      </c>
      <c r="J61" s="16">
        <f>'BCF Allocation'!$O$32*'BCF Allocation'!$G$36*'Monthly Fuel Cost Allocation'!J$34*$A$2</f>
        <v>0</v>
      </c>
      <c r="K61" s="16">
        <f>'BCF Allocation'!$O$32*'BCF Allocation'!$G$36*'Monthly Fuel Cost Allocation'!K$34*$A$2</f>
        <v>0</v>
      </c>
      <c r="L61" s="16">
        <f>'BCF Allocation'!$O$32*'BCF Allocation'!$G$36*'Monthly Fuel Cost Allocation'!L$34*$A$2</f>
        <v>0</v>
      </c>
      <c r="M61" s="16">
        <f>'BCF Allocation'!$O$32*'BCF Allocation'!$G$36*'Monthly Fuel Cost Allocation'!M$34*$A$2</f>
        <v>0</v>
      </c>
      <c r="N61" s="15">
        <f>SUM(B61:M61)</f>
        <v>0</v>
      </c>
      <c r="O61" s="15"/>
      <c r="P61" s="15"/>
      <c r="Q61" s="15"/>
      <c r="R61" s="11"/>
      <c r="S61" s="12"/>
      <c r="T61" s="12"/>
      <c r="U61" s="12"/>
      <c r="V61" s="12"/>
      <c r="W61" s="12"/>
      <c r="X61" s="12"/>
    </row>
    <row r="62" spans="1:24" ht="12.75">
      <c r="A62" s="13" t="s">
        <v>174</v>
      </c>
      <c r="B62" s="16">
        <f>'BCF Allocation'!$R$32*'BCF Allocation'!$P$32*'BCF Allocation'!$G$36*'Monthly Fuel Cost Allocation'!B$34*$A$2</f>
        <v>0</v>
      </c>
      <c r="C62" s="16">
        <f>'BCF Allocation'!$R$32*'BCF Allocation'!$P$32*'BCF Allocation'!$G$36*'Monthly Fuel Cost Allocation'!C$34*$A$2</f>
        <v>0</v>
      </c>
      <c r="D62" s="16">
        <f>'BCF Allocation'!$R$32*'BCF Allocation'!$P$32*'BCF Allocation'!$G$36*'Monthly Fuel Cost Allocation'!D$34*$A$2</f>
        <v>0</v>
      </c>
      <c r="E62" s="16">
        <f>'BCF Allocation'!$R$32*'BCF Allocation'!$P$32*'BCF Allocation'!$G$36*'Monthly Fuel Cost Allocation'!E$34*$A$2</f>
        <v>0</v>
      </c>
      <c r="F62" s="16">
        <f>'BCF Allocation'!$R$32*'BCF Allocation'!$P$32*'BCF Allocation'!$G$36*'Monthly Fuel Cost Allocation'!F$34*$A$2</f>
        <v>0</v>
      </c>
      <c r="G62" s="16">
        <f>'BCF Allocation'!$R$32*'BCF Allocation'!$P$32*'BCF Allocation'!$G$36*'Monthly Fuel Cost Allocation'!G$34*$A$2</f>
        <v>0</v>
      </c>
      <c r="H62" s="16">
        <f>'BCF Allocation'!$R$32*'BCF Allocation'!$P$32*'BCF Allocation'!$G$36*'Monthly Fuel Cost Allocation'!H$34*$A$2</f>
        <v>0</v>
      </c>
      <c r="I62" s="16">
        <f>'BCF Allocation'!$R$32*'BCF Allocation'!$P$32*'BCF Allocation'!$G$36*'Monthly Fuel Cost Allocation'!I$34*$A$2</f>
        <v>0</v>
      </c>
      <c r="J62" s="16">
        <f>'BCF Allocation'!$R$32*'BCF Allocation'!$P$32*'BCF Allocation'!$G$36*'Monthly Fuel Cost Allocation'!J$34*$A$2</f>
        <v>0</v>
      </c>
      <c r="K62" s="16">
        <f>'BCF Allocation'!$R$32*'BCF Allocation'!$P$32*'BCF Allocation'!$G$36*'Monthly Fuel Cost Allocation'!K$34*$A$2</f>
        <v>0</v>
      </c>
      <c r="L62" s="16">
        <f>'BCF Allocation'!$R$32*'BCF Allocation'!$P$32*'BCF Allocation'!$G$36*'Monthly Fuel Cost Allocation'!L$34*$A$2</f>
        <v>0</v>
      </c>
      <c r="M62" s="16">
        <f>'BCF Allocation'!$R$32*'BCF Allocation'!$P$32*'BCF Allocation'!$G$36*'Monthly Fuel Cost Allocation'!M$34*$A$2</f>
        <v>0</v>
      </c>
      <c r="N62" s="15">
        <f>SUM(B62:M62)</f>
        <v>0</v>
      </c>
      <c r="O62" s="15"/>
      <c r="P62" s="15"/>
      <c r="Q62" s="15"/>
      <c r="R62" s="11"/>
      <c r="S62" s="12"/>
      <c r="T62" s="12"/>
      <c r="U62" s="12"/>
      <c r="V62" s="12"/>
      <c r="W62" s="12"/>
      <c r="X62" s="12"/>
    </row>
    <row r="63" spans="1:24" ht="12.75">
      <c r="A63" s="13" t="s">
        <v>173</v>
      </c>
      <c r="B63" s="24">
        <f>'BCF Allocation'!$R$32*'BCF Allocation'!$Q$32*'BCF Allocation'!$E$36*'Monthly Fuel Cost Allocation'!B$34*$A$2</f>
        <v>0</v>
      </c>
      <c r="C63" s="24">
        <f>'BCF Allocation'!$R$32*'BCF Allocation'!$Q$32*'BCF Allocation'!$E$36*'Monthly Fuel Cost Allocation'!C$34*$A$2</f>
        <v>0</v>
      </c>
      <c r="D63" s="24">
        <f>'BCF Allocation'!$R$32*'BCF Allocation'!$Q$32*'BCF Allocation'!$E$36*'Monthly Fuel Cost Allocation'!D$34*$A$2</f>
        <v>0</v>
      </c>
      <c r="E63" s="24">
        <f>'BCF Allocation'!$R$32*'BCF Allocation'!$Q$32*'BCF Allocation'!$E$36*'Monthly Fuel Cost Allocation'!E$34*$A$2</f>
        <v>0</v>
      </c>
      <c r="F63" s="24">
        <f>'BCF Allocation'!$R$32*'BCF Allocation'!$Q$32*'BCF Allocation'!$E$36*'Monthly Fuel Cost Allocation'!F$34*$A$2</f>
        <v>0</v>
      </c>
      <c r="G63" s="24">
        <f>'BCF Allocation'!$R$32*'BCF Allocation'!$Q$32*'BCF Allocation'!$E$36*'Monthly Fuel Cost Allocation'!G$34*$A$2</f>
        <v>0</v>
      </c>
      <c r="H63" s="24">
        <f>'BCF Allocation'!$R$32*'BCF Allocation'!$Q$32*'BCF Allocation'!$E$36*'Monthly Fuel Cost Allocation'!H$34*$A$2</f>
        <v>0</v>
      </c>
      <c r="I63" s="24">
        <f>'BCF Allocation'!$R$32*'BCF Allocation'!$Q$32*'BCF Allocation'!$E$36*'Monthly Fuel Cost Allocation'!I$34*$A$2</f>
        <v>0</v>
      </c>
      <c r="J63" s="24">
        <f>'BCF Allocation'!$R$32*'BCF Allocation'!$Q$32*'BCF Allocation'!$E$36*'Monthly Fuel Cost Allocation'!J$34*$A$2</f>
        <v>0</v>
      </c>
      <c r="K63" s="24">
        <f>'BCF Allocation'!$R$32*'BCF Allocation'!$Q$32*'BCF Allocation'!$E$36*'Monthly Fuel Cost Allocation'!K$34*$A$2</f>
        <v>0</v>
      </c>
      <c r="L63" s="24">
        <f>'BCF Allocation'!$R$32*'BCF Allocation'!$Q$32*'BCF Allocation'!$E$36*'Monthly Fuel Cost Allocation'!L$34*$A$2</f>
        <v>0</v>
      </c>
      <c r="M63" s="24">
        <f>'BCF Allocation'!$R$32*'BCF Allocation'!$Q$32*'BCF Allocation'!$E$36*'Monthly Fuel Cost Allocation'!M$34*$A$2</f>
        <v>0</v>
      </c>
      <c r="N63" s="83">
        <f>SUM(B63:M63)</f>
        <v>0</v>
      </c>
      <c r="O63" s="15"/>
      <c r="P63" s="15"/>
      <c r="Q63" s="15"/>
      <c r="R63" s="11"/>
      <c r="S63" s="12"/>
      <c r="T63" s="12"/>
      <c r="U63" s="12"/>
      <c r="V63" s="12"/>
      <c r="W63" s="12"/>
      <c r="X63" s="12"/>
    </row>
    <row r="64" spans="1:24" ht="12.75">
      <c r="A64" s="13" t="s">
        <v>176</v>
      </c>
      <c r="B64" s="16">
        <f aca="true" t="shared" si="11" ref="B64:M64">SUM(B61:B63)</f>
        <v>0</v>
      </c>
      <c r="C64" s="16">
        <f t="shared" si="11"/>
        <v>0</v>
      </c>
      <c r="D64" s="16">
        <f t="shared" si="11"/>
        <v>0</v>
      </c>
      <c r="E64" s="16">
        <f t="shared" si="11"/>
        <v>0</v>
      </c>
      <c r="F64" s="16">
        <f t="shared" si="11"/>
        <v>0</v>
      </c>
      <c r="G64" s="16">
        <f t="shared" si="11"/>
        <v>0</v>
      </c>
      <c r="H64" s="16">
        <f t="shared" si="11"/>
        <v>0</v>
      </c>
      <c r="I64" s="16">
        <f t="shared" si="11"/>
        <v>0</v>
      </c>
      <c r="J64" s="16">
        <f t="shared" si="11"/>
        <v>0</v>
      </c>
      <c r="K64" s="16">
        <f t="shared" si="11"/>
        <v>0</v>
      </c>
      <c r="L64" s="16">
        <f t="shared" si="11"/>
        <v>0</v>
      </c>
      <c r="M64" s="16">
        <f t="shared" si="11"/>
        <v>0</v>
      </c>
      <c r="N64" s="15">
        <f>SUM(B64:M64)</f>
        <v>0</v>
      </c>
      <c r="O64" s="15"/>
      <c r="P64" s="15"/>
      <c r="Q64" s="15"/>
      <c r="R64" s="11"/>
      <c r="S64" s="12"/>
      <c r="T64" s="12"/>
      <c r="U64" s="12"/>
      <c r="V64" s="12"/>
      <c r="W64" s="12"/>
      <c r="X64" s="12"/>
    </row>
    <row r="65" spans="1:24" ht="5.25" customHeight="1">
      <c r="A65" s="1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5"/>
      <c r="O65" s="15"/>
      <c r="P65" s="15"/>
      <c r="Q65" s="15"/>
      <c r="R65" s="11"/>
      <c r="S65" s="12"/>
      <c r="T65" s="12"/>
      <c r="U65" s="12"/>
      <c r="V65" s="12"/>
      <c r="W65" s="12"/>
      <c r="X65" s="12"/>
    </row>
    <row r="66" spans="1:24" ht="12.75">
      <c r="A66" s="13" t="s">
        <v>175</v>
      </c>
      <c r="B66" s="16">
        <f>+B54+B59+B64</f>
        <v>0</v>
      </c>
      <c r="C66" s="16">
        <f aca="true" t="shared" si="12" ref="C66:M66">+C54+C59+C64</f>
        <v>0</v>
      </c>
      <c r="D66" s="16">
        <f t="shared" si="12"/>
        <v>0</v>
      </c>
      <c r="E66" s="16">
        <f t="shared" si="12"/>
        <v>0</v>
      </c>
      <c r="F66" s="16">
        <f t="shared" si="12"/>
        <v>0</v>
      </c>
      <c r="G66" s="16">
        <f t="shared" si="12"/>
        <v>0</v>
      </c>
      <c r="H66" s="16">
        <f t="shared" si="12"/>
        <v>0</v>
      </c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5">
        <f>SUM(B66:M66)</f>
        <v>0</v>
      </c>
      <c r="O66" s="15"/>
      <c r="P66" s="15"/>
      <c r="Q66" s="15"/>
      <c r="R66" s="11"/>
      <c r="S66" s="12"/>
      <c r="T66" s="12"/>
      <c r="U66" s="12"/>
      <c r="V66" s="12"/>
      <c r="W66" s="12"/>
      <c r="X66" s="12"/>
    </row>
    <row r="67" spans="1:24" ht="12.75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5"/>
      <c r="O67" s="15"/>
      <c r="P67" s="15"/>
      <c r="Q67" s="15"/>
      <c r="R67" s="11"/>
      <c r="S67" s="12"/>
      <c r="T67" s="12"/>
      <c r="U67" s="12"/>
      <c r="V67" s="12"/>
      <c r="W67" s="12"/>
      <c r="X67" s="12"/>
    </row>
    <row r="68" spans="1:24" ht="12.75">
      <c r="A68" s="13" t="s">
        <v>177</v>
      </c>
      <c r="B68" s="16">
        <f>+B51+B66</f>
        <v>887415.4800000001</v>
      </c>
      <c r="C68" s="16">
        <f aca="true" t="shared" si="13" ref="C68:M68">+C51+C66</f>
        <v>714261.2400000001</v>
      </c>
      <c r="D68" s="16">
        <f t="shared" si="13"/>
        <v>885010.56</v>
      </c>
      <c r="E68" s="16">
        <f t="shared" si="13"/>
        <v>829697.4</v>
      </c>
      <c r="F68" s="16">
        <f t="shared" si="13"/>
        <v>887415.4800000001</v>
      </c>
      <c r="G68" s="16">
        <f t="shared" si="13"/>
        <v>829697.4</v>
      </c>
      <c r="H68" s="16">
        <f t="shared" si="13"/>
        <v>887415.4800000001</v>
      </c>
      <c r="I68" s="16">
        <f t="shared" si="13"/>
        <v>887415.4800000001</v>
      </c>
      <c r="J68" s="16">
        <f t="shared" si="13"/>
        <v>829697.4</v>
      </c>
      <c r="K68" s="16">
        <f t="shared" si="13"/>
        <v>887415.4800000001</v>
      </c>
      <c r="L68" s="16">
        <f t="shared" si="13"/>
        <v>829697.4</v>
      </c>
      <c r="M68" s="16">
        <f t="shared" si="13"/>
        <v>887415.4800000001</v>
      </c>
      <c r="N68" s="15">
        <f>SUM(B68:M68)</f>
        <v>10242554.280000003</v>
      </c>
      <c r="O68" s="15"/>
      <c r="P68" s="15"/>
      <c r="Q68" s="15"/>
      <c r="R68" s="11"/>
      <c r="S68" s="12"/>
      <c r="T68" s="12"/>
      <c r="U68" s="12"/>
      <c r="V68" s="12"/>
      <c r="W68" s="12"/>
      <c r="X68" s="12"/>
    </row>
    <row r="69" spans="1:24" ht="12.75">
      <c r="A69" s="29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  <c r="P69" s="15"/>
      <c r="Q69" s="15"/>
      <c r="R69" s="11"/>
      <c r="S69" s="12"/>
      <c r="T69" s="12"/>
      <c r="U69" s="12"/>
      <c r="V69" s="12"/>
      <c r="W69" s="12"/>
      <c r="X69" s="12"/>
    </row>
    <row r="70" spans="1:24" ht="15.75">
      <c r="A70" s="288" t="s">
        <v>62</v>
      </c>
      <c r="B70" s="16">
        <f>B32-B39-B54</f>
        <v>53853918.895721205</v>
      </c>
      <c r="C70" s="16">
        <f aca="true" t="shared" si="14" ref="C70:L70">C32-C39-C54</f>
        <v>47043586.07352247</v>
      </c>
      <c r="D70" s="16">
        <f t="shared" si="14"/>
        <v>40932190.09697349</v>
      </c>
      <c r="E70" s="16">
        <f t="shared" si="14"/>
        <v>31750775.810451265</v>
      </c>
      <c r="F70" s="16">
        <f t="shared" si="14"/>
        <v>28929396.667311423</v>
      </c>
      <c r="G70" s="16">
        <f t="shared" si="14"/>
        <v>34742753.90823327</v>
      </c>
      <c r="H70" s="16">
        <f t="shared" si="14"/>
        <v>34564630.847592175</v>
      </c>
      <c r="I70" s="16">
        <f t="shared" si="14"/>
        <v>37596179.4886872</v>
      </c>
      <c r="J70" s="16">
        <f t="shared" si="14"/>
        <v>28621163.410434447</v>
      </c>
      <c r="K70" s="16">
        <f t="shared" si="14"/>
        <v>31484690.97128807</v>
      </c>
      <c r="L70" s="16">
        <f t="shared" si="14"/>
        <v>32124586.336916465</v>
      </c>
      <c r="M70" s="16">
        <f>M32-M39-M54</f>
        <v>36820865.20691706</v>
      </c>
      <c r="N70" s="15">
        <f>SUM(B70:M70)</f>
        <v>438464737.71404856</v>
      </c>
      <c r="O70" s="15"/>
      <c r="P70" s="15"/>
      <c r="Q70" s="15"/>
      <c r="R70" s="11"/>
      <c r="S70" s="12"/>
      <c r="T70" s="12"/>
      <c r="U70" s="12"/>
      <c r="V70" s="12"/>
      <c r="W70" s="12"/>
      <c r="X70" s="12"/>
    </row>
    <row r="72" ht="15.75">
      <c r="A72" s="86" t="s">
        <v>63</v>
      </c>
    </row>
    <row r="73" spans="1:17" ht="12.75">
      <c r="A73" s="21" t="s">
        <v>54</v>
      </c>
      <c r="B73" s="16">
        <f>+B$70*'Monthly Energy Allocators'!B135</f>
        <v>25025986.076832864</v>
      </c>
      <c r="C73" s="16">
        <f>+C$70*'Monthly Energy Allocators'!C135</f>
        <v>21523105.92343844</v>
      </c>
      <c r="D73" s="16">
        <f>+D$70*'Monthly Energy Allocators'!D135</f>
        <v>17780333.5083548</v>
      </c>
      <c r="E73" s="16">
        <f>+E$70*'Monthly Energy Allocators'!E135</f>
        <v>12711713.102137607</v>
      </c>
      <c r="F73" s="16">
        <f>+F$70*'Monthly Energy Allocators'!F135</f>
        <v>10957250.771830564</v>
      </c>
      <c r="G73" s="16">
        <f>+G$70*'Monthly Energy Allocators'!G135</f>
        <v>11634074.205774067</v>
      </c>
      <c r="H73" s="16">
        <f>+H$70*'Monthly Energy Allocators'!H135</f>
        <v>11047849.288209394</v>
      </c>
      <c r="I73" s="16">
        <f>+I$70*'Monthly Energy Allocators'!I135</f>
        <v>12175762.830733847</v>
      </c>
      <c r="J73" s="16">
        <f>+J$70*'Monthly Energy Allocators'!J135</f>
        <v>10179512.31097147</v>
      </c>
      <c r="K73" s="16">
        <f>+K$70*'Monthly Energy Allocators'!K135</f>
        <v>12885230.762463572</v>
      </c>
      <c r="L73" s="16">
        <f>+L$70*'Monthly Energy Allocators'!L135</f>
        <v>14233031.864730014</v>
      </c>
      <c r="M73" s="16">
        <f>+M$70*'Monthly Energy Allocators'!M135</f>
        <v>18335034.787206117</v>
      </c>
      <c r="N73" s="22">
        <f>SUM(B73:M73)</f>
        <v>178488885.43268275</v>
      </c>
      <c r="O73" s="22"/>
      <c r="P73" s="22"/>
      <c r="Q73" s="22"/>
    </row>
    <row r="74" spans="1:17" ht="12.75">
      <c r="A74" s="21" t="s">
        <v>46</v>
      </c>
      <c r="B74" s="16">
        <f>+B$70*'Monthly Energy Allocators'!B136</f>
        <v>1201387.2001664166</v>
      </c>
      <c r="C74" s="16">
        <f>+C$70*'Monthly Energy Allocators'!C136</f>
        <v>1082360.6998072867</v>
      </c>
      <c r="D74" s="16">
        <f>+D$70*'Monthly Energy Allocators'!D136</f>
        <v>961112.6179923385</v>
      </c>
      <c r="E74" s="16">
        <f>+E$70*'Monthly Energy Allocators'!E136</f>
        <v>691232.1748045736</v>
      </c>
      <c r="F74" s="16">
        <f>+F$70*'Monthly Energy Allocators'!F136</f>
        <v>653119.354522721</v>
      </c>
      <c r="G74" s="16">
        <f>+G$70*'Monthly Energy Allocators'!G136</f>
        <v>724286.5381784867</v>
      </c>
      <c r="H74" s="16">
        <f>+H$70*'Monthly Energy Allocators'!H136</f>
        <v>735579.4570714087</v>
      </c>
      <c r="I74" s="16">
        <f>+I$70*'Monthly Energy Allocators'!I136</f>
        <v>807568.9635790129</v>
      </c>
      <c r="J74" s="16">
        <f>+J$70*'Monthly Energy Allocators'!J136</f>
        <v>680308.7234598763</v>
      </c>
      <c r="K74" s="16">
        <f>+K$70*'Monthly Energy Allocators'!K136</f>
        <v>782414.8398450097</v>
      </c>
      <c r="L74" s="16">
        <f>+L$70*'Monthly Energy Allocators'!L136</f>
        <v>721201.894760402</v>
      </c>
      <c r="M74" s="16">
        <f>+M$70*'Monthly Energy Allocators'!M136</f>
        <v>864433.1649119875</v>
      </c>
      <c r="N74" s="22">
        <f aca="true" t="shared" si="15" ref="N74:N82">SUM(B74:M74)</f>
        <v>9905005.629099522</v>
      </c>
      <c r="O74" s="22"/>
      <c r="P74" s="22"/>
      <c r="Q74" s="22"/>
    </row>
    <row r="75" spans="1:17" ht="12.75">
      <c r="A75" s="21" t="s">
        <v>47</v>
      </c>
      <c r="B75" s="16">
        <f>+B$70*'Monthly Energy Allocators'!B137</f>
        <v>11160485.819902997</v>
      </c>
      <c r="C75" s="16">
        <f>+C$70*'Monthly Energy Allocators'!C137</f>
        <v>10008174.87796538</v>
      </c>
      <c r="D75" s="16">
        <f>+D$70*'Monthly Energy Allocators'!D137</f>
        <v>8622502.116501858</v>
      </c>
      <c r="E75" s="16">
        <f>+E$70*'Monthly Energy Allocators'!E137</f>
        <v>6629781.613903798</v>
      </c>
      <c r="F75" s="16">
        <f>+F$70*'Monthly Energy Allocators'!F137</f>
        <v>6137267.555824526</v>
      </c>
      <c r="G75" s="16">
        <f>+G$70*'Monthly Energy Allocators'!G137</f>
        <v>7935790.598088076</v>
      </c>
      <c r="H75" s="16">
        <f>+H$70*'Monthly Energy Allocators'!H137</f>
        <v>8067020.726075414</v>
      </c>
      <c r="I75" s="16">
        <f>+I$70*'Monthly Energy Allocators'!I137</f>
        <v>8618653.517030248</v>
      </c>
      <c r="J75" s="16">
        <f>+J$70*'Monthly Energy Allocators'!J137</f>
        <v>6860010.261713335</v>
      </c>
      <c r="K75" s="16">
        <f>+K$70*'Monthly Energy Allocators'!K137</f>
        <v>8363047.412663947</v>
      </c>
      <c r="L75" s="16">
        <f>+L$70*'Monthly Energy Allocators'!L137</f>
        <v>7875727.021947997</v>
      </c>
      <c r="M75" s="16">
        <f>+M$70*'Monthly Energy Allocators'!M137</f>
        <v>8600080.135555014</v>
      </c>
      <c r="N75" s="22">
        <f t="shared" si="15"/>
        <v>98878541.6571726</v>
      </c>
      <c r="O75" s="22"/>
      <c r="P75" s="22"/>
      <c r="Q75" s="22"/>
    </row>
    <row r="76" spans="1:17" ht="12.75">
      <c r="A76" s="21" t="s">
        <v>48</v>
      </c>
      <c r="B76" s="16">
        <f>+B$70*'Monthly Energy Allocators'!B138</f>
        <v>1631579.4362911289</v>
      </c>
      <c r="C76" s="16">
        <f>+C$70*'Monthly Energy Allocators'!C138</f>
        <v>1348508.9796626272</v>
      </c>
      <c r="D76" s="16">
        <f>+D$70*'Monthly Energy Allocators'!D138</f>
        <v>1397367.346785854</v>
      </c>
      <c r="E76" s="16">
        <f>+E$70*'Monthly Energy Allocators'!E138</f>
        <v>1106549.0965615087</v>
      </c>
      <c r="F76" s="16">
        <f>+F$70*'Monthly Energy Allocators'!F138</f>
        <v>1081141.6555312502</v>
      </c>
      <c r="G76" s="16">
        <f>+G$70*'Monthly Energy Allocators'!G138</f>
        <v>1387506.3558693302</v>
      </c>
      <c r="H76" s="16">
        <f>+H$70*'Monthly Energy Allocators'!H138</f>
        <v>1570685.143137091</v>
      </c>
      <c r="I76" s="16">
        <f>+I$70*'Monthly Energy Allocators'!I138</f>
        <v>1747883.3053484368</v>
      </c>
      <c r="J76" s="16">
        <f>+J$70*'Monthly Energy Allocators'!J138</f>
        <v>1350606.6412781884</v>
      </c>
      <c r="K76" s="16">
        <f>+K$70*'Monthly Energy Allocators'!K138</f>
        <v>1481920.6249389038</v>
      </c>
      <c r="L76" s="16">
        <f>+L$70*'Monthly Energy Allocators'!L138</f>
        <v>1302226.4522358328</v>
      </c>
      <c r="M76" s="16">
        <f>+M$70*'Monthly Energy Allocators'!M138</f>
        <v>1251508.2728839114</v>
      </c>
      <c r="N76" s="22">
        <f t="shared" si="15"/>
        <v>16657483.310524063</v>
      </c>
      <c r="O76" s="22"/>
      <c r="P76" s="22"/>
      <c r="Q76" s="22"/>
    </row>
    <row r="77" spans="1:17" ht="12.75">
      <c r="A77" s="21" t="s">
        <v>49</v>
      </c>
      <c r="B77" s="16">
        <f>+B$70*'Monthly Energy Allocators'!B139</f>
        <v>1099759.8633881602</v>
      </c>
      <c r="C77" s="16">
        <f>+C$70*'Monthly Energy Allocators'!C139</f>
        <v>964673.0037998521</v>
      </c>
      <c r="D77" s="16">
        <f>+D$70*'Monthly Energy Allocators'!D139</f>
        <v>890512.1593345669</v>
      </c>
      <c r="E77" s="16">
        <f>+E$70*'Monthly Energy Allocators'!E139</f>
        <v>687565.3760898324</v>
      </c>
      <c r="F77" s="16">
        <f>+F$70*'Monthly Energy Allocators'!F139</f>
        <v>671783.7127378805</v>
      </c>
      <c r="G77" s="16">
        <f>+G$70*'Monthly Energy Allocators'!G139</f>
        <v>851798.3041108362</v>
      </c>
      <c r="H77" s="16">
        <f>+H$70*'Monthly Energy Allocators'!H139</f>
        <v>949148.7553470301</v>
      </c>
      <c r="I77" s="16">
        <f>+I$70*'Monthly Energy Allocators'!I139</f>
        <v>853932.5980991973</v>
      </c>
      <c r="J77" s="16">
        <f>+J$70*'Monthly Energy Allocators'!J139</f>
        <v>798892.1694153124</v>
      </c>
      <c r="K77" s="16">
        <f>+K$70*'Monthly Energy Allocators'!K139</f>
        <v>704008.6144785972</v>
      </c>
      <c r="L77" s="16">
        <f>+L$70*'Monthly Energy Allocators'!L139</f>
        <v>816716.2413558464</v>
      </c>
      <c r="M77" s="16">
        <f>+M$70*'Monthly Energy Allocators'!M139</f>
        <v>902626.1680234476</v>
      </c>
      <c r="N77" s="22">
        <f t="shared" si="15"/>
        <v>10191416.96618056</v>
      </c>
      <c r="O77" s="22"/>
      <c r="P77" s="22"/>
      <c r="Q77" s="22"/>
    </row>
    <row r="78" spans="1:17" ht="12.75">
      <c r="A78" s="21" t="s">
        <v>50</v>
      </c>
      <c r="B78" s="16">
        <f>+B$70*'Monthly Energy Allocators'!B140</f>
        <v>1712147.6733133763</v>
      </c>
      <c r="C78" s="16">
        <f>+C$70*'Monthly Energy Allocators'!C140</f>
        <v>1679246.3925112253</v>
      </c>
      <c r="D78" s="16">
        <f>+D$70*'Monthly Energy Allocators'!D140</f>
        <v>1613541.8959109539</v>
      </c>
      <c r="E78" s="16">
        <f>+E$70*'Monthly Energy Allocators'!E140</f>
        <v>1429150.154930485</v>
      </c>
      <c r="F78" s="16">
        <f>+F$70*'Monthly Energy Allocators'!F140</f>
        <v>1232203.889030883</v>
      </c>
      <c r="G78" s="16">
        <f>+G$70*'Monthly Energy Allocators'!G140</f>
        <v>1742317.8802097978</v>
      </c>
      <c r="H78" s="16">
        <f>+H$70*'Monthly Energy Allocators'!H140</f>
        <v>1697355.766446599</v>
      </c>
      <c r="I78" s="16">
        <f>+I$70*'Monthly Energy Allocators'!I140</f>
        <v>1805096.6577632804</v>
      </c>
      <c r="J78" s="16">
        <f>+J$70*'Monthly Energy Allocators'!J140</f>
        <v>1617973.9671324256</v>
      </c>
      <c r="K78" s="16">
        <f>+K$70*'Monthly Energy Allocators'!K140</f>
        <v>1765870.8286981424</v>
      </c>
      <c r="L78" s="16">
        <f>+L$70*'Monthly Energy Allocators'!L140</f>
        <v>1614656.5628024624</v>
      </c>
      <c r="M78" s="16">
        <f>+M$70*'Monthly Energy Allocators'!M140</f>
        <v>1568362.184428355</v>
      </c>
      <c r="N78" s="22">
        <f t="shared" si="15"/>
        <v>19477923.85317799</v>
      </c>
      <c r="O78" s="22"/>
      <c r="P78" s="22"/>
      <c r="Q78" s="22"/>
    </row>
    <row r="79" spans="1:17" ht="12.75">
      <c r="A79" s="21" t="s">
        <v>51</v>
      </c>
      <c r="B79" s="16">
        <f>+B$70*'Monthly Energy Allocators'!B141</f>
        <v>3508313.2489448395</v>
      </c>
      <c r="C79" s="16">
        <f>+C$70*'Monthly Energy Allocators'!C141</f>
        <v>3113756.928214946</v>
      </c>
      <c r="D79" s="16">
        <f>+D$70*'Monthly Energy Allocators'!D141</f>
        <v>2847838.7506613093</v>
      </c>
      <c r="E79" s="16">
        <f>+E$70*'Monthly Energy Allocators'!E141</f>
        <v>2533069.8224938563</v>
      </c>
      <c r="F79" s="16">
        <f>+F$70*'Monthly Energy Allocators'!F141</f>
        <v>2442391.625674014</v>
      </c>
      <c r="G79" s="16">
        <f>+G$70*'Monthly Energy Allocators'!G141</f>
        <v>3217777.561674561</v>
      </c>
      <c r="H79" s="16">
        <f>+H$70*'Monthly Energy Allocators'!H141</f>
        <v>3132217.1227668</v>
      </c>
      <c r="I79" s="16">
        <f>+I$70*'Monthly Energy Allocators'!I141</f>
        <v>3548412.678074342</v>
      </c>
      <c r="J79" s="16">
        <f>+J$70*'Monthly Energy Allocators'!J141</f>
        <v>3017092.772738711</v>
      </c>
      <c r="K79" s="16">
        <f>+K$70*'Monthly Energy Allocators'!K141</f>
        <v>3250166.5908128996</v>
      </c>
      <c r="L79" s="16">
        <f>+L$70*'Monthly Energy Allocators'!L141</f>
        <v>3078886.468057884</v>
      </c>
      <c r="M79" s="16">
        <f>+M$70*'Monthly Energy Allocators'!M141</f>
        <v>2775342.6159870774</v>
      </c>
      <c r="N79" s="22">
        <f t="shared" si="15"/>
        <v>36465266.186101235</v>
      </c>
      <c r="O79" s="22"/>
      <c r="P79" s="22"/>
      <c r="Q79" s="22"/>
    </row>
    <row r="80" spans="1:17" ht="12.75">
      <c r="A80" s="21" t="s">
        <v>55</v>
      </c>
      <c r="B80" s="16">
        <f>+B$70*'Monthly Energy Allocators'!B142</f>
        <v>7155450.906052319</v>
      </c>
      <c r="C80" s="16">
        <f>+C$70*'Monthly Energy Allocators'!C142</f>
        <v>6085196.1863109255</v>
      </c>
      <c r="D80" s="16">
        <f>+D$70*'Monthly Energy Allocators'!D142</f>
        <v>5711978.88229103</v>
      </c>
      <c r="E80" s="16">
        <f>+E$70*'Monthly Energy Allocators'!E142</f>
        <v>5104046.238828945</v>
      </c>
      <c r="F80" s="16">
        <f>+F$70*'Monthly Energy Allocators'!F142</f>
        <v>4969462.322356771</v>
      </c>
      <c r="G80" s="16">
        <f>+G$70*'Monthly Energy Allocators'!G142</f>
        <v>6334351.426682452</v>
      </c>
      <c r="H80" s="16">
        <f>+H$70*'Monthly Energy Allocators'!H142</f>
        <v>6412634.033795789</v>
      </c>
      <c r="I80" s="16">
        <f>+I$70*'Monthly Energy Allocators'!I142</f>
        <v>6987513.209886484</v>
      </c>
      <c r="J80" s="16">
        <f>+J$70*'Monthly Energy Allocators'!J142</f>
        <v>3242249.576005949</v>
      </c>
      <c r="K80" s="16">
        <f>+K$70*'Monthly Energy Allocators'!K142</f>
        <v>1208293.909155765</v>
      </c>
      <c r="L80" s="16">
        <f>+L$70*'Monthly Energy Allocators'!L142</f>
        <v>1427741.8310550747</v>
      </c>
      <c r="M80" s="16">
        <f>+M$70*'Monthly Energy Allocators'!M142</f>
        <v>1389110.696615508</v>
      </c>
      <c r="N80" s="22">
        <f t="shared" si="15"/>
        <v>56028029.21903702</v>
      </c>
      <c r="O80" s="22"/>
      <c r="P80" s="22"/>
      <c r="Q80" s="22"/>
    </row>
    <row r="81" spans="1:17" ht="12.75">
      <c r="A81" s="21" t="s">
        <v>52</v>
      </c>
      <c r="B81" s="16">
        <f>+B$70*'Monthly Energy Allocators'!B143</f>
        <v>927967.3646696619</v>
      </c>
      <c r="C81" s="16">
        <f>+C$70*'Monthly Energy Allocators'!C143</f>
        <v>827524.2824817902</v>
      </c>
      <c r="D81" s="16">
        <f>+D$70*'Monthly Energy Allocators'!D143</f>
        <v>714429.7118561282</v>
      </c>
      <c r="E81" s="16">
        <f>+E$70*'Monthly Energy Allocators'!E143</f>
        <v>530216.7467952522</v>
      </c>
      <c r="F81" s="16">
        <f>+F$70*'Monthly Energy Allocators'!F143</f>
        <v>449121.96549464826</v>
      </c>
      <c r="G81" s="16">
        <f>+G$70*'Monthly Energy Allocators'!G143</f>
        <v>526500.2343053035</v>
      </c>
      <c r="H81" s="16">
        <f>+H$70*'Monthly Energy Allocators'!H143</f>
        <v>554670.1320813674</v>
      </c>
      <c r="I81" s="16">
        <f>+I$70*'Monthly Energy Allocators'!I143</f>
        <v>606348.0332618447</v>
      </c>
      <c r="J81" s="16">
        <f>+J$70*'Monthly Energy Allocators'!J143</f>
        <v>494269.61476391985</v>
      </c>
      <c r="K81" s="16">
        <f>+K$70*'Monthly Energy Allocators'!K143</f>
        <v>638709.6984715917</v>
      </c>
      <c r="L81" s="16">
        <f>+L$70*'Monthly Energy Allocators'!L143</f>
        <v>648302.0758350892</v>
      </c>
      <c r="M81" s="16">
        <f>+M$70*'Monthly Energy Allocators'!M143</f>
        <v>733981.798218741</v>
      </c>
      <c r="N81" s="22">
        <f t="shared" si="15"/>
        <v>7652041.6582353385</v>
      </c>
      <c r="O81" s="22"/>
      <c r="P81" s="22"/>
      <c r="Q81" s="22"/>
    </row>
    <row r="82" spans="1:17" ht="12.75">
      <c r="A82" s="21" t="s">
        <v>53</v>
      </c>
      <c r="B82" s="24">
        <f>+B$70*'Monthly Energy Allocators'!B144</f>
        <v>430841.30615944037</v>
      </c>
      <c r="C82" s="24">
        <f>+C$70*'Monthly Energy Allocators'!C144</f>
        <v>411038.7993299898</v>
      </c>
      <c r="D82" s="24">
        <f>+D$70*'Monthly Energy Allocators'!D144</f>
        <v>392573.10728464654</v>
      </c>
      <c r="E82" s="24">
        <f>+E$70*'Monthly Energy Allocators'!E144</f>
        <v>327451.48390541587</v>
      </c>
      <c r="F82" s="24">
        <f>+F$70*'Monthly Energy Allocators'!F144</f>
        <v>335653.81430815934</v>
      </c>
      <c r="G82" s="24">
        <f>+G$70*'Monthly Energy Allocators'!G144</f>
        <v>388350.8033403602</v>
      </c>
      <c r="H82" s="24">
        <f>+H$70*'Monthly Energy Allocators'!H144</f>
        <v>397470.4226612812</v>
      </c>
      <c r="I82" s="24">
        <f>+I$70*'Monthly Energy Allocators'!I144</f>
        <v>445007.69491051283</v>
      </c>
      <c r="J82" s="24">
        <f>+J$70*'Monthly Energy Allocators'!J144</f>
        <v>380247.37295525917</v>
      </c>
      <c r="K82" s="24">
        <f>+K$70*'Monthly Energy Allocators'!K144</f>
        <v>405027.6897596366</v>
      </c>
      <c r="L82" s="24">
        <f>+L$70*'Monthly Energy Allocators'!L144</f>
        <v>406095.92413586774</v>
      </c>
      <c r="M82" s="24">
        <f>+M$70*'Monthly Energy Allocators'!M144</f>
        <v>400385.3830869087</v>
      </c>
      <c r="N82" s="25">
        <f t="shared" si="15"/>
        <v>4720143.801837479</v>
      </c>
      <c r="O82" s="25"/>
      <c r="P82" s="25"/>
      <c r="Q82" s="25"/>
    </row>
    <row r="83" spans="1:17" ht="12.75">
      <c r="A83" s="10" t="s">
        <v>44</v>
      </c>
      <c r="B83" s="23">
        <f>SUM(B73:B82)</f>
        <v>53853918.895721205</v>
      </c>
      <c r="C83" s="23">
        <f aca="true" t="shared" si="16" ref="C83:N83">SUM(C73:C82)</f>
        <v>47043586.07352246</v>
      </c>
      <c r="D83" s="23">
        <f t="shared" si="16"/>
        <v>40932190.09697349</v>
      </c>
      <c r="E83" s="23">
        <f t="shared" si="16"/>
        <v>31750775.810451273</v>
      </c>
      <c r="F83" s="23">
        <f t="shared" si="16"/>
        <v>28929396.667311415</v>
      </c>
      <c r="G83" s="23">
        <f t="shared" si="16"/>
        <v>34742753.90823327</v>
      </c>
      <c r="H83" s="23">
        <f t="shared" si="16"/>
        <v>34564630.847592175</v>
      </c>
      <c r="I83" s="23">
        <f t="shared" si="16"/>
        <v>37596179.4886872</v>
      </c>
      <c r="J83" s="23">
        <f t="shared" si="16"/>
        <v>28621163.41043445</v>
      </c>
      <c r="K83" s="23">
        <f t="shared" si="16"/>
        <v>31484690.971288063</v>
      </c>
      <c r="L83" s="23">
        <f t="shared" si="16"/>
        <v>32124586.33691647</v>
      </c>
      <c r="M83" s="23">
        <f t="shared" si="16"/>
        <v>36820865.20691708</v>
      </c>
      <c r="N83" s="23">
        <f t="shared" si="16"/>
        <v>438464737.7140485</v>
      </c>
      <c r="O83" s="23"/>
      <c r="P83" s="23"/>
      <c r="Q83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60" r:id="rId1"/>
  <rowBreaks count="1" manualBreakCount="1">
    <brk id="6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49"/>
  <sheetViews>
    <sheetView view="pageBreakPreview" zoomScale="60" zoomScaleNormal="115" zoomScalePageLayoutView="0" workbookViewId="0" topLeftCell="A1">
      <pane xSplit="1" ySplit="1" topLeftCell="B116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A109" sqref="A109"/>
    </sheetView>
  </sheetViews>
  <sheetFormatPr defaultColWidth="9.140625" defaultRowHeight="12.75"/>
  <cols>
    <col min="1" max="1" width="36.57421875" style="3" bestFit="1" customWidth="1"/>
    <col min="2" max="2" width="17.28125" style="3" bestFit="1" customWidth="1"/>
    <col min="3" max="4" width="18.00390625" style="3" bestFit="1" customWidth="1"/>
    <col min="5" max="5" width="15.8515625" style="3" bestFit="1" customWidth="1"/>
    <col min="6" max="6" width="15.57421875" style="3" bestFit="1" customWidth="1"/>
    <col min="7" max="9" width="15.8515625" style="3" bestFit="1" customWidth="1"/>
    <col min="10" max="10" width="15.57421875" style="3" bestFit="1" customWidth="1"/>
    <col min="11" max="11" width="15.8515625" style="3" bestFit="1" customWidth="1"/>
    <col min="12" max="13" width="16.28125" style="3" bestFit="1" customWidth="1"/>
    <col min="14" max="14" width="19.00390625" style="3" bestFit="1" customWidth="1"/>
    <col min="15" max="15" width="13.8515625" style="3" bestFit="1" customWidth="1"/>
    <col min="16" max="16" width="22.28125" style="3" bestFit="1" customWidth="1"/>
    <col min="17" max="17" width="15.00390625" style="3" bestFit="1" customWidth="1"/>
    <col min="18" max="18" width="17.7109375" style="3" bestFit="1" customWidth="1"/>
    <col min="19" max="19" width="11.7109375" style="3" bestFit="1" customWidth="1"/>
    <col min="20" max="16384" width="9.140625" style="3" customWidth="1"/>
  </cols>
  <sheetData>
    <row r="1" spans="1:14" ht="12.75">
      <c r="A1" s="52" t="s">
        <v>7</v>
      </c>
      <c r="B1" s="53">
        <v>40544</v>
      </c>
      <c r="C1" s="53">
        <v>40575</v>
      </c>
      <c r="D1" s="53">
        <v>40603</v>
      </c>
      <c r="E1" s="53">
        <v>40634</v>
      </c>
      <c r="F1" s="53">
        <v>40664</v>
      </c>
      <c r="G1" s="53">
        <v>40695</v>
      </c>
      <c r="H1" s="53">
        <v>40725</v>
      </c>
      <c r="I1" s="53">
        <v>40756</v>
      </c>
      <c r="J1" s="53">
        <v>40787</v>
      </c>
      <c r="K1" s="53">
        <v>40817</v>
      </c>
      <c r="L1" s="53">
        <v>40848</v>
      </c>
      <c r="M1" s="53">
        <v>40878</v>
      </c>
      <c r="N1" s="52" t="s">
        <v>44</v>
      </c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85" t="s">
        <v>181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1.75" customHeight="1">
      <c r="A4" s="10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93</v>
      </c>
      <c r="B5" s="54">
        <f>+'Data Inputs - 2011'!C19</f>
        <v>491597341.0000003</v>
      </c>
      <c r="C5" s="54">
        <f>+'Data Inputs - 2011'!D19</f>
        <v>447237069.00000006</v>
      </c>
      <c r="D5" s="54">
        <f>+'Data Inputs - 2011'!E19</f>
        <v>434583594.0663284</v>
      </c>
      <c r="E5" s="54">
        <f>+'Data Inputs - 2011'!F19</f>
        <v>342830712.6770455</v>
      </c>
      <c r="F5" s="54">
        <f>+'Data Inputs - 2011'!G19</f>
        <v>317944762.7246134</v>
      </c>
      <c r="G5" s="54">
        <f>+'Data Inputs - 2011'!H19</f>
        <v>262374957.66969824</v>
      </c>
      <c r="H5" s="54">
        <f>+'Data Inputs - 2011'!I19</f>
        <v>255826504.48412168</v>
      </c>
      <c r="I5" s="54">
        <f>+'Data Inputs - 2011'!J19</f>
        <v>256068467.12117815</v>
      </c>
      <c r="J5" s="54">
        <f>+'Data Inputs - 2011'!K19</f>
        <v>257225936.05937248</v>
      </c>
      <c r="K5" s="54">
        <f>+'Data Inputs - 2011'!L19</f>
        <v>285773310.01161015</v>
      </c>
      <c r="L5" s="54">
        <f>+'Data Inputs - 2011'!M19</f>
        <v>331972814.517241</v>
      </c>
      <c r="M5" s="54">
        <f>+'Data Inputs - 2011'!N19</f>
        <v>433996239.6558744</v>
      </c>
      <c r="N5" s="55">
        <f aca="true" t="shared" si="0" ref="N5:N16">SUM(B5:M5)</f>
        <v>4117431708.9870834</v>
      </c>
    </row>
    <row r="6" spans="1:14" ht="12.75">
      <c r="A6" s="21" t="s">
        <v>94</v>
      </c>
      <c r="B6" s="56">
        <f>+'Data Inputs - 2011'!C20</f>
        <v>24531972.844606645</v>
      </c>
      <c r="C6" s="56">
        <f>+'Data Inputs - 2011'!D20</f>
        <v>23582348.746298164</v>
      </c>
      <c r="D6" s="56">
        <f>+'Data Inputs - 2011'!E20</f>
        <v>23542204.07721302</v>
      </c>
      <c r="E6" s="56">
        <f>+'Data Inputs - 2011'!F20</f>
        <v>19053331.20291841</v>
      </c>
      <c r="F6" s="56">
        <f>+'Data Inputs - 2011'!G20</f>
        <v>13564359.01430652</v>
      </c>
      <c r="G6" s="56">
        <f>+'Data Inputs - 2011'!H20</f>
        <v>9141075.003010314</v>
      </c>
      <c r="H6" s="56">
        <f>+'Data Inputs - 2011'!I20</f>
        <v>7263772.667569518</v>
      </c>
      <c r="I6" s="56">
        <f>+'Data Inputs - 2011'!J20</f>
        <v>7441492.09589796</v>
      </c>
      <c r="J6" s="56">
        <f>+'Data Inputs - 2011'!K20</f>
        <v>8327371.07233436</v>
      </c>
      <c r="K6" s="56">
        <f>+'Data Inputs - 2011'!L20</f>
        <v>11226696.750063414</v>
      </c>
      <c r="L6" s="56">
        <f>+'Data Inputs - 2011'!M20</f>
        <v>17098145.917758435</v>
      </c>
      <c r="M6" s="56">
        <f>+'Data Inputs - 2011'!N20</f>
        <v>29542563.608520996</v>
      </c>
      <c r="N6" s="57">
        <f t="shared" si="0"/>
        <v>194315333.00049773</v>
      </c>
    </row>
    <row r="7" spans="1:14" ht="12.75">
      <c r="A7" s="21" t="s">
        <v>95</v>
      </c>
      <c r="B7" s="54">
        <f>+'Data Inputs - 2011'!C21</f>
        <v>516129313.84460694</v>
      </c>
      <c r="C7" s="54">
        <f>+'Data Inputs - 2011'!D21</f>
        <v>470819417.7462982</v>
      </c>
      <c r="D7" s="54">
        <f>+'Data Inputs - 2011'!E21</f>
        <v>458125798.14354146</v>
      </c>
      <c r="E7" s="54">
        <f>+'Data Inputs - 2011'!F21</f>
        <v>361884043.87996393</v>
      </c>
      <c r="F7" s="54">
        <f>+'Data Inputs - 2011'!G21</f>
        <v>331509121.73892</v>
      </c>
      <c r="G7" s="54">
        <f>+'Data Inputs - 2011'!H21</f>
        <v>271516032.6727086</v>
      </c>
      <c r="H7" s="54">
        <f>+'Data Inputs - 2011'!I21</f>
        <v>263090277.1516912</v>
      </c>
      <c r="I7" s="54">
        <f>+'Data Inputs - 2011'!J21</f>
        <v>263509959.21707612</v>
      </c>
      <c r="J7" s="54">
        <f>+'Data Inputs - 2011'!K21</f>
        <v>265553307.13170683</v>
      </c>
      <c r="K7" s="54">
        <f>+'Data Inputs - 2011'!L21</f>
        <v>297000006.76167357</v>
      </c>
      <c r="L7" s="54">
        <f>+'Data Inputs - 2011'!M21</f>
        <v>349070960.43499947</v>
      </c>
      <c r="M7" s="54">
        <f>+'Data Inputs - 2011'!N21</f>
        <v>463538803.26439536</v>
      </c>
      <c r="N7" s="55">
        <f t="shared" si="0"/>
        <v>4311747041.987582</v>
      </c>
    </row>
    <row r="8" spans="1:14" ht="12.75">
      <c r="A8" s="21" t="s">
        <v>46</v>
      </c>
      <c r="B8" s="54">
        <f>+'Data Inputs - 2011'!C22</f>
        <v>25054239.090126842</v>
      </c>
      <c r="C8" s="54">
        <f>+'Data Inputs - 2011'!D22</f>
        <v>23947308.926431797</v>
      </c>
      <c r="D8" s="54">
        <f>+'Data Inputs - 2011'!E22</f>
        <v>24778327.71529182</v>
      </c>
      <c r="E8" s="54">
        <f>+'Data Inputs - 2011'!F22</f>
        <v>19673628.478945963</v>
      </c>
      <c r="F8" s="54">
        <f>+'Data Inputs - 2011'!G22</f>
        <v>19705463.919923946</v>
      </c>
      <c r="G8" s="54">
        <f>+'Data Inputs - 2011'!H22</f>
        <v>16973750.19414236</v>
      </c>
      <c r="H8" s="54">
        <f>+'Data Inputs - 2011'!I22</f>
        <v>17470246.348917868</v>
      </c>
      <c r="I8" s="54">
        <f>+'Data Inputs - 2011'!J22</f>
        <v>17355842.138498247</v>
      </c>
      <c r="J8" s="54">
        <f>+'Data Inputs - 2011'!K22</f>
        <v>17678286.16211143</v>
      </c>
      <c r="K8" s="54">
        <f>+'Data Inputs - 2011'!L22</f>
        <v>18075941.83632879</v>
      </c>
      <c r="L8" s="54">
        <f>+'Data Inputs - 2011'!M22</f>
        <v>17737765.140632696</v>
      </c>
      <c r="M8" s="54">
        <f>+'Data Inputs - 2011'!N22</f>
        <v>22154198.209045544</v>
      </c>
      <c r="N8" s="55">
        <f t="shared" si="0"/>
        <v>240604998.1603973</v>
      </c>
    </row>
    <row r="9" spans="1:14" ht="12.75">
      <c r="A9" s="21" t="s">
        <v>47</v>
      </c>
      <c r="B9" s="54">
        <f>+'Data Inputs - 2011'!C23</f>
        <v>239579439.10776353</v>
      </c>
      <c r="C9" s="54">
        <f>+'Data Inputs - 2011'!D23</f>
        <v>227368670.79070008</v>
      </c>
      <c r="D9" s="54">
        <f>+'Data Inputs - 2011'!E23</f>
        <v>228184562.05384693</v>
      </c>
      <c r="E9" s="54">
        <f>+'Data Inputs - 2011'!F23</f>
        <v>193918198.35243177</v>
      </c>
      <c r="F9" s="54">
        <f>+'Data Inputs - 2011'!G23</f>
        <v>190109868.0163232</v>
      </c>
      <c r="G9" s="54">
        <f>+'Data Inputs - 2011'!H23</f>
        <v>189265281.33373857</v>
      </c>
      <c r="H9" s="54">
        <f>+'Data Inputs - 2011'!I23</f>
        <v>195835281.50903186</v>
      </c>
      <c r="I9" s="54">
        <f>+'Data Inputs - 2011'!J23</f>
        <v>190588359.90718496</v>
      </c>
      <c r="J9" s="54">
        <f>+'Data Inputs - 2011'!K23</f>
        <v>182428741.7169053</v>
      </c>
      <c r="K9" s="54">
        <f>+'Data Inputs - 2011'!L23</f>
        <v>197173592.92362168</v>
      </c>
      <c r="L9" s="54">
        <f>+'Data Inputs - 2011'!M23</f>
        <v>199422591.7794435</v>
      </c>
      <c r="M9" s="54">
        <f>+'Data Inputs - 2011'!N23</f>
        <v>227394363.22912452</v>
      </c>
      <c r="N9" s="55">
        <f t="shared" si="0"/>
        <v>2461268950.7201157</v>
      </c>
    </row>
    <row r="10" spans="1:14" ht="12.75">
      <c r="A10" s="21" t="s">
        <v>48</v>
      </c>
      <c r="B10" s="54">
        <f>+'Data Inputs - 2011'!C24</f>
        <v>35096557</v>
      </c>
      <c r="C10" s="54">
        <f>+'Data Inputs - 2011'!D24</f>
        <v>30777495</v>
      </c>
      <c r="D10" s="54">
        <f>+'Data Inputs - 2011'!E24</f>
        <v>37224786</v>
      </c>
      <c r="E10" s="54">
        <f>+'Data Inputs - 2011'!F24</f>
        <v>32404250</v>
      </c>
      <c r="F10" s="54">
        <f>+'Data Inputs - 2011'!G24</f>
        <v>33505033</v>
      </c>
      <c r="G10" s="54">
        <f>+'Data Inputs - 2011'!H24</f>
        <v>33139815</v>
      </c>
      <c r="H10" s="54">
        <f>+'Data Inputs - 2011'!I24</f>
        <v>37969360</v>
      </c>
      <c r="I10" s="54">
        <f>+'Data Inputs - 2011'!J24</f>
        <v>38383819</v>
      </c>
      <c r="J10" s="54">
        <f>+'Data Inputs - 2011'!K24</f>
        <v>35811295</v>
      </c>
      <c r="K10" s="54">
        <f>+'Data Inputs - 2011'!L24</f>
        <v>34843162</v>
      </c>
      <c r="L10" s="54">
        <f>+'Data Inputs - 2011'!M24</f>
        <v>32971008.12293102</v>
      </c>
      <c r="M10" s="54">
        <f>+'Data Inputs - 2011'!N24</f>
        <v>33060764.813905407</v>
      </c>
      <c r="N10" s="55">
        <f t="shared" si="0"/>
        <v>415187344.9368364</v>
      </c>
    </row>
    <row r="11" spans="1:14" ht="12.75">
      <c r="A11" s="21" t="s">
        <v>49</v>
      </c>
      <c r="B11" s="54">
        <f>+'Data Inputs - 2011'!C25</f>
        <v>23892128.986424677</v>
      </c>
      <c r="C11" s="54">
        <f>+'Data Inputs - 2011'!D25</f>
        <v>22187486.98978901</v>
      </c>
      <c r="D11" s="54">
        <f>+'Data Inputs - 2011'!E25</f>
        <v>23823017.566372495</v>
      </c>
      <c r="E11" s="54">
        <f>+'Data Inputs - 2011'!F25</f>
        <v>20227973.185708687</v>
      </c>
      <c r="F11" s="54">
        <f>+'Data Inputs - 2011'!G25</f>
        <v>20827850.85325282</v>
      </c>
      <c r="G11" s="54">
        <f>+'Data Inputs - 2011'!H25</f>
        <v>20267882.116491325</v>
      </c>
      <c r="H11" s="54">
        <f>+'Data Inputs - 2011'!I25</f>
        <v>23069569.723985806</v>
      </c>
      <c r="I11" s="54">
        <f>+'Data Inputs - 2011'!J25</f>
        <v>18904477.829306006</v>
      </c>
      <c r="J11" s="54">
        <f>+'Data Inputs - 2011'!K25</f>
        <v>21239241.473004825</v>
      </c>
      <c r="K11" s="54">
        <f>+'Data Inputs - 2011'!L25</f>
        <v>16608872.26853967</v>
      </c>
      <c r="L11" s="54">
        <f>+'Data Inputs - 2011'!M25</f>
        <v>20717128.90960718</v>
      </c>
      <c r="M11" s="54">
        <f>+'Data Inputs - 2011'!N25</f>
        <v>24025307.281967316</v>
      </c>
      <c r="N11" s="55">
        <f t="shared" si="0"/>
        <v>255790937.18444976</v>
      </c>
    </row>
    <row r="12" spans="1:14" ht="12.75">
      <c r="A12" s="21" t="s">
        <v>50</v>
      </c>
      <c r="B12" s="54">
        <f>+'Data Inputs - 2011'!C26</f>
        <v>37338669.36657387</v>
      </c>
      <c r="C12" s="54">
        <f>+'Data Inputs - 2011'!D26</f>
        <v>38770685.520580575</v>
      </c>
      <c r="D12" s="54">
        <f>+'Data Inputs - 2011'!E26</f>
        <v>43393092.019857004</v>
      </c>
      <c r="E12" s="54">
        <f>+'Data Inputs - 2011'!F26</f>
        <v>42220873.4699043</v>
      </c>
      <c r="F12" s="54">
        <f>+'Data Inputs - 2011'!G26</f>
        <v>38261549.511217296</v>
      </c>
      <c r="G12" s="54">
        <f>+'Data Inputs - 2011'!H26</f>
        <v>41597947.68831301</v>
      </c>
      <c r="H12" s="54">
        <f>+'Data Inputs - 2011'!I26</f>
        <v>41403757.83794585</v>
      </c>
      <c r="I12" s="54">
        <f>+'Data Inputs - 2011'!J26</f>
        <v>40025150.94381815</v>
      </c>
      <c r="J12" s="54">
        <f>+'Data Inputs - 2011'!K26</f>
        <v>43093385.160355315</v>
      </c>
      <c r="K12" s="54">
        <f>+'Data Inputs - 2011'!L26</f>
        <v>41794995.01671873</v>
      </c>
      <c r="L12" s="54">
        <f>+'Data Inputs - 2011'!M26</f>
        <v>41136127.63727259</v>
      </c>
      <c r="M12" s="54">
        <f>+'Data Inputs - 2011'!N26</f>
        <v>41904505.43741902</v>
      </c>
      <c r="N12" s="55">
        <f t="shared" si="0"/>
        <v>490940739.6099757</v>
      </c>
    </row>
    <row r="13" spans="1:14" ht="12.75">
      <c r="A13" s="21" t="s">
        <v>51</v>
      </c>
      <c r="B13" s="54">
        <f>+'Data Inputs - 2011'!C27</f>
        <v>77413569.44</v>
      </c>
      <c r="C13" s="54">
        <f>+'Data Inputs - 2011'!D27</f>
        <v>72775167.68</v>
      </c>
      <c r="D13" s="54">
        <f>+'Data Inputs - 2011'!E27</f>
        <v>77538009.69</v>
      </c>
      <c r="E13" s="54">
        <f>+'Data Inputs - 2011'!F27</f>
        <v>75612712.44</v>
      </c>
      <c r="F13" s="54">
        <f>+'Data Inputs - 2011'!G27</f>
        <v>76648467</v>
      </c>
      <c r="G13" s="54">
        <f>+'Data Inputs - 2011'!H27</f>
        <v>77452544.22</v>
      </c>
      <c r="H13" s="54">
        <f>+'Data Inputs - 2011'!I27</f>
        <v>77012032.9</v>
      </c>
      <c r="I13" s="54">
        <f>+'Data Inputs - 2011'!J27</f>
        <v>79399380.52000001</v>
      </c>
      <c r="J13" s="54">
        <f>+'Data Inputs - 2011'!K27</f>
        <v>80836843.09</v>
      </c>
      <c r="K13" s="54">
        <f>+'Data Inputs - 2011'!L27</f>
        <v>77490481.31</v>
      </c>
      <c r="L13" s="54">
        <f>+'Data Inputs - 2011'!M27</f>
        <v>79373258.69984713</v>
      </c>
      <c r="M13" s="54">
        <f>+'Data Inputs - 2011'!N27</f>
        <v>75071104.01097429</v>
      </c>
      <c r="N13" s="55">
        <f t="shared" si="0"/>
        <v>926623571.0008214</v>
      </c>
    </row>
    <row r="14" spans="1:16" ht="12.75">
      <c r="A14" s="21" t="s">
        <v>155</v>
      </c>
      <c r="B14" s="54">
        <f>+'Data Inputs - 2011'!C28</f>
        <v>161260512</v>
      </c>
      <c r="C14" s="54">
        <f>+'Data Inputs - 2011'!D28</f>
        <v>145654656</v>
      </c>
      <c r="D14" s="54">
        <f>+'Data Inputs - 2011'!E28</f>
        <v>159855764</v>
      </c>
      <c r="E14" s="54">
        <f>+'Data Inputs - 2011'!F28</f>
        <v>156058560</v>
      </c>
      <c r="F14" s="54">
        <f>+'Data Inputs - 2011'!G28</f>
        <v>161260512</v>
      </c>
      <c r="G14" s="54">
        <f>+'Data Inputs - 2011'!H28</f>
        <v>156058560</v>
      </c>
      <c r="H14" s="54">
        <f>+'Data Inputs - 2011'!I28</f>
        <v>161260512</v>
      </c>
      <c r="I14" s="54">
        <f>+'Data Inputs - 2011'!J28</f>
        <v>161260512</v>
      </c>
      <c r="J14" s="54">
        <f>+'Data Inputs - 2011'!K28</f>
        <v>88871560</v>
      </c>
      <c r="K14" s="54">
        <f>+'Data Inputs - 2011'!L28</f>
        <v>29673880</v>
      </c>
      <c r="L14" s="54">
        <f>+'Data Inputs - 2011'!M28</f>
        <v>37618560.00000001</v>
      </c>
      <c r="M14" s="54">
        <f>+'Data Inputs - 2011'!N28</f>
        <v>38872512</v>
      </c>
      <c r="N14" s="55">
        <f>SUM(B14:M14)</f>
        <v>1457706100</v>
      </c>
      <c r="P14" s="58"/>
    </row>
    <row r="15" spans="1:14" ht="12.75">
      <c r="A15" s="21" t="s">
        <v>52</v>
      </c>
      <c r="B15" s="54">
        <f>+'Data Inputs - 2011'!C29</f>
        <v>20421066</v>
      </c>
      <c r="C15" s="54">
        <f>+'Data Inputs - 2011'!D29</f>
        <v>19292747</v>
      </c>
      <c r="D15" s="54">
        <f>+'Data Inputs - 2011'!E29</f>
        <v>19378649</v>
      </c>
      <c r="E15" s="54">
        <f>+'Data Inputs - 2011'!F29</f>
        <v>15767063</v>
      </c>
      <c r="F15" s="54">
        <f>+'Data Inputs - 2011'!G29</f>
        <v>14060408</v>
      </c>
      <c r="G15" s="54">
        <f>+'Data Inputs - 2011'!H29</f>
        <v>12650029</v>
      </c>
      <c r="H15" s="54">
        <f>+'Data Inputs - 2011'!I29</f>
        <v>13607616</v>
      </c>
      <c r="I15" s="54">
        <f>+'Data Inputs - 2011'!J29</f>
        <v>13564379</v>
      </c>
      <c r="J15" s="54">
        <f>+'Data Inputs - 2011'!K29</f>
        <v>13258088</v>
      </c>
      <c r="K15" s="54">
        <f>+'Data Inputs - 2011'!L29</f>
        <v>15256829</v>
      </c>
      <c r="L15" s="54">
        <f>+'Data Inputs - 2011'!M29</f>
        <v>16706794.005903678</v>
      </c>
      <c r="M15" s="54">
        <f>+'Data Inputs - 2011'!N29</f>
        <v>19819901.316194266</v>
      </c>
      <c r="N15" s="55">
        <f t="shared" si="0"/>
        <v>193783569.32209796</v>
      </c>
    </row>
    <row r="16" spans="1:14" ht="12.75">
      <c r="A16" s="21" t="s">
        <v>53</v>
      </c>
      <c r="B16" s="56">
        <f>+'Data Inputs - 2011'!C30</f>
        <v>8861752.24295505</v>
      </c>
      <c r="C16" s="56">
        <f>+'Data Inputs - 2011'!D30</f>
        <v>8916948.142315011</v>
      </c>
      <c r="D16" s="56">
        <f>+'Data Inputs - 2011'!E30</f>
        <v>9926719.6398334</v>
      </c>
      <c r="E16" s="56">
        <f>+'Data Inputs - 2011'!F30</f>
        <v>9225098.637041202</v>
      </c>
      <c r="F16" s="56">
        <f>+'Data Inputs - 2011'!G30</f>
        <v>9906998.59548337</v>
      </c>
      <c r="G16" s="56">
        <f>+'Data Inputs - 2011'!H30</f>
        <v>8951400.126645159</v>
      </c>
      <c r="H16" s="56">
        <f>+'Data Inputs - 2011'!I30</f>
        <v>9337248.837506989</v>
      </c>
      <c r="I16" s="56">
        <f>+'Data Inputs - 2011'!J30</f>
        <v>9533539.786029493</v>
      </c>
      <c r="J16" s="56">
        <f>+'Data Inputs - 2011'!K30</f>
        <v>9875713.277327318</v>
      </c>
      <c r="K16" s="56">
        <f>+'Data Inputs - 2011'!L30</f>
        <v>9289066.42838288</v>
      </c>
      <c r="L16" s="56">
        <f>+'Data Inputs - 2011'!M30</f>
        <v>10031257.468571562</v>
      </c>
      <c r="M16" s="56">
        <f>+'Data Inputs - 2011'!N30</f>
        <v>10094127.10237779</v>
      </c>
      <c r="N16" s="57">
        <f t="shared" si="0"/>
        <v>113949870.2844692</v>
      </c>
    </row>
    <row r="17" spans="1:15" ht="12.75">
      <c r="A17" s="10" t="s">
        <v>56</v>
      </c>
      <c r="B17" s="81">
        <f aca="true" t="shared" si="1" ref="B17:M17">SUM(B7:B16)</f>
        <v>1145047247.078451</v>
      </c>
      <c r="C17" s="81">
        <f t="shared" si="1"/>
        <v>1060510583.7961146</v>
      </c>
      <c r="D17" s="81">
        <f t="shared" si="1"/>
        <v>1082228725.8287432</v>
      </c>
      <c r="E17" s="81">
        <f t="shared" si="1"/>
        <v>926992401.4439958</v>
      </c>
      <c r="F17" s="81">
        <f t="shared" si="1"/>
        <v>895795272.6351205</v>
      </c>
      <c r="G17" s="81">
        <f t="shared" si="1"/>
        <v>827873242.352039</v>
      </c>
      <c r="H17" s="81">
        <f t="shared" si="1"/>
        <v>840055902.3090795</v>
      </c>
      <c r="I17" s="81">
        <f t="shared" si="1"/>
        <v>832525420.3419129</v>
      </c>
      <c r="J17" s="81">
        <f t="shared" si="1"/>
        <v>758646461.011411</v>
      </c>
      <c r="K17" s="81">
        <f t="shared" si="1"/>
        <v>737206827.5452654</v>
      </c>
      <c r="L17" s="81">
        <f t="shared" si="1"/>
        <v>804785452.1992087</v>
      </c>
      <c r="M17" s="81">
        <f t="shared" si="1"/>
        <v>955935586.6654035</v>
      </c>
      <c r="N17" s="81">
        <f>SUM(B17:M17)</f>
        <v>10867603123.206747</v>
      </c>
      <c r="O17" s="58"/>
    </row>
    <row r="18" spans="1:14" ht="12.75">
      <c r="A18" s="10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2.75">
      <c r="A19" s="322" t="s">
        <v>96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2.75">
      <c r="A20" s="323" t="s">
        <v>74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2.75">
      <c r="A21" s="323" t="s">
        <v>162</v>
      </c>
      <c r="B21" s="55">
        <f>+'Data Inputs - 2011'!C34</f>
        <v>15498000</v>
      </c>
      <c r="C21" s="55">
        <f>+'Data Inputs - 2011'!D34</f>
        <v>12474000</v>
      </c>
      <c r="D21" s="55">
        <f>+'Data Inputs - 2011'!E34</f>
        <v>15456000</v>
      </c>
      <c r="E21" s="55">
        <f>+'Data Inputs - 2011'!F34</f>
        <v>14490000</v>
      </c>
      <c r="F21" s="55">
        <f>+'Data Inputs - 2011'!G34</f>
        <v>15498000</v>
      </c>
      <c r="G21" s="55">
        <f>+'Data Inputs - 2011'!H34</f>
        <v>14490000</v>
      </c>
      <c r="H21" s="55">
        <f>+'Data Inputs - 2011'!I34</f>
        <v>15498000</v>
      </c>
      <c r="I21" s="55">
        <f>+'Data Inputs - 2011'!J34</f>
        <v>15498000</v>
      </c>
      <c r="J21" s="55">
        <f>+'Data Inputs - 2011'!K34</f>
        <v>14490000</v>
      </c>
      <c r="K21" s="55">
        <f>+'Data Inputs - 2011'!L34</f>
        <v>15498000</v>
      </c>
      <c r="L21" s="55">
        <f>+'Data Inputs - 2011'!M34</f>
        <v>14490000</v>
      </c>
      <c r="M21" s="55">
        <f>+'Data Inputs - 2011'!N34</f>
        <v>15498000</v>
      </c>
      <c r="N21" s="55">
        <f>SUM(B21:M21)</f>
        <v>178878000</v>
      </c>
    </row>
    <row r="22" spans="1:14" s="79" customFormat="1" ht="12.75">
      <c r="A22" s="324" t="s">
        <v>163</v>
      </c>
      <c r="B22" s="80">
        <f>+'Data Inputs - 2011'!C35</f>
        <v>0</v>
      </c>
      <c r="C22" s="80">
        <f>+'Data Inputs - 2011'!D35</f>
        <v>0</v>
      </c>
      <c r="D22" s="80">
        <f>+'Data Inputs - 2011'!E35</f>
        <v>0</v>
      </c>
      <c r="E22" s="80">
        <f>+'Data Inputs - 2011'!F35</f>
        <v>0</v>
      </c>
      <c r="F22" s="80">
        <f>+'Data Inputs - 2011'!G35</f>
        <v>0</v>
      </c>
      <c r="G22" s="80">
        <f>+'Data Inputs - 2011'!H35</f>
        <v>0</v>
      </c>
      <c r="H22" s="80">
        <f>+'Data Inputs - 2011'!I35</f>
        <v>0</v>
      </c>
      <c r="I22" s="80">
        <f>+'Data Inputs - 2011'!J35</f>
        <v>0</v>
      </c>
      <c r="J22" s="80">
        <f>+'Data Inputs - 2011'!K35</f>
        <v>0</v>
      </c>
      <c r="K22" s="80">
        <f>+'Data Inputs - 2011'!L35</f>
        <v>0</v>
      </c>
      <c r="L22" s="80">
        <f>+'Data Inputs - 2011'!M35</f>
        <v>0</v>
      </c>
      <c r="M22" s="80">
        <f>+'Data Inputs - 2011'!N35</f>
        <v>0</v>
      </c>
      <c r="N22" s="80">
        <f>SUM(B22:M22)</f>
        <v>0</v>
      </c>
    </row>
    <row r="23" spans="1:14" ht="12.75">
      <c r="A23" s="1" t="s">
        <v>31</v>
      </c>
      <c r="B23" s="55">
        <f>'Data Inputs - 2011'!C40</f>
        <v>-454389.73000000045</v>
      </c>
      <c r="C23" s="55">
        <f>'Data Inputs - 2011'!D40</f>
        <v>-212701</v>
      </c>
      <c r="D23" s="55">
        <f>'Data Inputs - 2011'!E40</f>
        <v>-204956</v>
      </c>
      <c r="E23" s="55">
        <f>'Data Inputs - 2011'!F40</f>
        <v>97033</v>
      </c>
      <c r="F23" s="55">
        <f>'Data Inputs - 2011'!G40</f>
        <v>1811286.33</v>
      </c>
      <c r="G23" s="55">
        <f>'Data Inputs - 2011'!H40</f>
        <v>-59875.139999999665</v>
      </c>
      <c r="H23" s="55">
        <f>'Data Inputs - 2011'!I40</f>
        <v>2008272</v>
      </c>
      <c r="I23" s="55">
        <f>'Data Inputs - 2011'!J40</f>
        <v>1500759.79</v>
      </c>
      <c r="J23" s="55">
        <f>'Data Inputs - 2011'!K40</f>
        <v>589830</v>
      </c>
      <c r="K23" s="55">
        <f>'Data Inputs - 2011'!L40</f>
        <v>2739820.4000000004</v>
      </c>
      <c r="L23" s="55">
        <f>'Data Inputs - 2011'!M40</f>
        <v>1309936.4100000001</v>
      </c>
      <c r="M23" s="55">
        <f>'Data Inputs - 2011'!N40</f>
        <v>200343</v>
      </c>
      <c r="N23" s="55">
        <f>SUM(B23:M23)</f>
        <v>9325359.06</v>
      </c>
    </row>
    <row r="24" spans="1:14" ht="12.75">
      <c r="A24" s="1" t="s">
        <v>30</v>
      </c>
      <c r="B24" s="55">
        <f>+'Data Inputs - 2011'!C41-'Data Inputs - 2011'!C35</f>
        <v>15750000</v>
      </c>
      <c r="C24" s="55">
        <f>+'Data Inputs - 2011'!D41-'Data Inputs - 2011'!D35</f>
        <v>15750000</v>
      </c>
      <c r="D24" s="55">
        <f>+'Data Inputs - 2011'!E41-'Data Inputs - 2011'!E35</f>
        <v>15750000</v>
      </c>
      <c r="E24" s="55">
        <f>+'Data Inputs - 2011'!F41-'Data Inputs - 2011'!F35</f>
        <v>15750000</v>
      </c>
      <c r="F24" s="55">
        <f>+'Data Inputs - 2011'!G41-'Data Inputs - 2011'!G35</f>
        <v>15750000</v>
      </c>
      <c r="G24" s="55">
        <f>+'Data Inputs - 2011'!H41-'Data Inputs - 2011'!H35</f>
        <v>15750000</v>
      </c>
      <c r="H24" s="55">
        <f>+'Data Inputs - 2011'!I41-'Data Inputs - 2011'!I35</f>
        <v>15750000</v>
      </c>
      <c r="I24" s="55">
        <f>+'Data Inputs - 2011'!J41-'Data Inputs - 2011'!J35</f>
        <v>15750000</v>
      </c>
      <c r="J24" s="55">
        <f>+'Data Inputs - 2011'!K41-'Data Inputs - 2011'!K35</f>
        <v>15750000</v>
      </c>
      <c r="K24" s="55">
        <f>+'Data Inputs - 2011'!L41-'Data Inputs - 2011'!L35</f>
        <v>15750000</v>
      </c>
      <c r="L24" s="55">
        <f>+'Data Inputs - 2011'!M41-'Data Inputs - 2011'!M35</f>
        <v>15750000</v>
      </c>
      <c r="M24" s="55">
        <f>+'Data Inputs - 2011'!N41-'Data Inputs - 2011'!N35</f>
        <v>15750000</v>
      </c>
      <c r="N24" s="55">
        <f>SUM(B24:M24)</f>
        <v>189000000</v>
      </c>
    </row>
    <row r="25" spans="1:15" ht="12.75">
      <c r="A25" s="325" t="s">
        <v>134</v>
      </c>
      <c r="B25" s="57">
        <f>+'Data Inputs - 2011'!C60</f>
        <v>-1567168</v>
      </c>
      <c r="C25" s="57">
        <f>+'Data Inputs - 2011'!D60</f>
        <v>4854744</v>
      </c>
      <c r="D25" s="57">
        <f>+'Data Inputs - 2011'!E60</f>
        <v>9607607</v>
      </c>
      <c r="E25" s="56">
        <f>+'Data Inputs - 2011'!F60</f>
        <v>13092491</v>
      </c>
      <c r="F25" s="56">
        <f>+'Data Inputs - 2011'!G60</f>
        <v>17115020</v>
      </c>
      <c r="G25" s="56">
        <f>+'Data Inputs - 2011'!H60</f>
        <v>463755</v>
      </c>
      <c r="H25" s="56">
        <f>+'Data Inputs - 2011'!I60</f>
        <v>17657977</v>
      </c>
      <c r="I25" s="56">
        <f>+'Data Inputs - 2011'!J60</f>
        <v>2305537</v>
      </c>
      <c r="J25" s="57">
        <f>+'Data Inputs - 2011'!K60</f>
        <v>-3013726</v>
      </c>
      <c r="K25" s="57">
        <f>+'Data Inputs - 2011'!L60</f>
        <v>-3944733</v>
      </c>
      <c r="L25" s="57">
        <f>+'Data Inputs - 2011'!M60</f>
        <v>0</v>
      </c>
      <c r="M25" s="57">
        <f>+'Data Inputs - 2011'!N60</f>
        <v>0</v>
      </c>
      <c r="N25" s="55">
        <f>SUM(B25:M25)</f>
        <v>56571504</v>
      </c>
      <c r="O25" s="58"/>
    </row>
    <row r="26" spans="1:15" ht="12.75">
      <c r="A26" s="2" t="s">
        <v>99</v>
      </c>
      <c r="B26" s="81">
        <f aca="true" t="shared" si="2" ref="B26:N26">SUM(B21:B25)</f>
        <v>29226442.27</v>
      </c>
      <c r="C26" s="81">
        <f t="shared" si="2"/>
        <v>32866043</v>
      </c>
      <c r="D26" s="81">
        <f t="shared" si="2"/>
        <v>40608651</v>
      </c>
      <c r="E26" s="81">
        <f t="shared" si="2"/>
        <v>43429524</v>
      </c>
      <c r="F26" s="81">
        <f t="shared" si="2"/>
        <v>50174306.33</v>
      </c>
      <c r="G26" s="81">
        <f t="shared" si="2"/>
        <v>30643879.86</v>
      </c>
      <c r="H26" s="81">
        <f t="shared" si="2"/>
        <v>50914249</v>
      </c>
      <c r="I26" s="81">
        <f t="shared" si="2"/>
        <v>35054296.79</v>
      </c>
      <c r="J26" s="81">
        <f t="shared" si="2"/>
        <v>27816104</v>
      </c>
      <c r="K26" s="81">
        <f t="shared" si="2"/>
        <v>30043087.4</v>
      </c>
      <c r="L26" s="81">
        <f t="shared" si="2"/>
        <v>31549936.41</v>
      </c>
      <c r="M26" s="81">
        <f t="shared" si="2"/>
        <v>31448343</v>
      </c>
      <c r="N26" s="81">
        <f t="shared" si="2"/>
        <v>433774863.06</v>
      </c>
      <c r="O26" s="55"/>
    </row>
    <row r="27" spans="1:14" ht="12.75">
      <c r="A27" s="2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6" ht="12.75">
      <c r="A28" s="2" t="s">
        <v>137</v>
      </c>
      <c r="B28" s="81">
        <f aca="true" t="shared" si="3" ref="B28:M28">+B17+B26</f>
        <v>1174273689.348451</v>
      </c>
      <c r="C28" s="81">
        <f t="shared" si="3"/>
        <v>1093376626.7961144</v>
      </c>
      <c r="D28" s="81">
        <f t="shared" si="3"/>
        <v>1122837376.8287432</v>
      </c>
      <c r="E28" s="81">
        <f t="shared" si="3"/>
        <v>970421925.4439958</v>
      </c>
      <c r="F28" s="81">
        <f t="shared" si="3"/>
        <v>945969578.9651206</v>
      </c>
      <c r="G28" s="81">
        <f t="shared" si="3"/>
        <v>858517122.212039</v>
      </c>
      <c r="H28" s="81">
        <f t="shared" si="3"/>
        <v>890970151.3090795</v>
      </c>
      <c r="I28" s="81">
        <f t="shared" si="3"/>
        <v>867579717.1319128</v>
      </c>
      <c r="J28" s="81">
        <f t="shared" si="3"/>
        <v>786462565.011411</v>
      </c>
      <c r="K28" s="81">
        <f t="shared" si="3"/>
        <v>767249914.9452654</v>
      </c>
      <c r="L28" s="81">
        <f t="shared" si="3"/>
        <v>836335388.6092087</v>
      </c>
      <c r="M28" s="81">
        <f t="shared" si="3"/>
        <v>987383929.6654035</v>
      </c>
      <c r="N28" s="81">
        <f>SUM(B28:M28)</f>
        <v>11301377986.266745</v>
      </c>
      <c r="P28" s="58"/>
    </row>
    <row r="29" spans="1:14" ht="12.75">
      <c r="A29" s="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6" ht="12.75">
      <c r="A30" s="2" t="s">
        <v>97</v>
      </c>
      <c r="B30" s="81">
        <f>+'Data Inputs - 2011'!C46</f>
        <v>208000</v>
      </c>
      <c r="C30" s="81">
        <f>+'Data Inputs - 2011'!D46</f>
        <v>60000</v>
      </c>
      <c r="D30" s="81">
        <f>+'Data Inputs - 2011'!E46</f>
        <v>350000</v>
      </c>
      <c r="E30" s="81">
        <f>+'Data Inputs - 2011'!F46</f>
        <v>50000</v>
      </c>
      <c r="F30" s="81">
        <f>+'Data Inputs - 2011'!G46</f>
        <v>176000</v>
      </c>
      <c r="G30" s="81">
        <f>+'Data Inputs - 2011'!H46</f>
        <v>0</v>
      </c>
      <c r="H30" s="81">
        <f>+'Data Inputs - 2011'!I46</f>
        <v>1076000</v>
      </c>
      <c r="I30" s="81">
        <f>+'Data Inputs - 2011'!J46</f>
        <v>1230000</v>
      </c>
      <c r="J30" s="81">
        <f>+'Data Inputs - 2011'!K46</f>
        <v>276000</v>
      </c>
      <c r="K30" s="81">
        <f>+'Data Inputs - 2011'!L46</f>
        <v>966000</v>
      </c>
      <c r="L30" s="81">
        <f>+'Data Inputs - 2011'!M46</f>
        <v>21256000</v>
      </c>
      <c r="M30" s="81">
        <f>+'Data Inputs - 2011'!N46</f>
        <v>-4000</v>
      </c>
      <c r="N30" s="81">
        <f>SUM(B30:M30)</f>
        <v>25644000</v>
      </c>
      <c r="P30" s="58"/>
    </row>
    <row r="31" ht="12.75">
      <c r="A31" s="1"/>
    </row>
    <row r="32" spans="1:16" ht="12.75">
      <c r="A32" s="2" t="s">
        <v>138</v>
      </c>
      <c r="B32" s="81">
        <f>B28+B30</f>
        <v>1174481689.348451</v>
      </c>
      <c r="C32" s="81">
        <f>C28+C30</f>
        <v>1093436626.7961144</v>
      </c>
      <c r="D32" s="81">
        <f aca="true" t="shared" si="4" ref="D32:M32">D28+D30</f>
        <v>1123187376.8287432</v>
      </c>
      <c r="E32" s="81">
        <f t="shared" si="4"/>
        <v>970471925.4439958</v>
      </c>
      <c r="F32" s="81">
        <f t="shared" si="4"/>
        <v>946145578.9651206</v>
      </c>
      <c r="G32" s="81">
        <f t="shared" si="4"/>
        <v>858517122.212039</v>
      </c>
      <c r="H32" s="81">
        <f t="shared" si="4"/>
        <v>892046151.3090795</v>
      </c>
      <c r="I32" s="81">
        <f t="shared" si="4"/>
        <v>868809717.1319128</v>
      </c>
      <c r="J32" s="81">
        <f t="shared" si="4"/>
        <v>786738565.011411</v>
      </c>
      <c r="K32" s="81">
        <f t="shared" si="4"/>
        <v>768215914.9452654</v>
      </c>
      <c r="L32" s="81">
        <f t="shared" si="4"/>
        <v>857591388.6092087</v>
      </c>
      <c r="M32" s="81">
        <f t="shared" si="4"/>
        <v>987379929.6654035</v>
      </c>
      <c r="N32" s="81">
        <f>SUM(B32:M32)</f>
        <v>11327021986.266745</v>
      </c>
      <c r="P32" s="58"/>
    </row>
    <row r="33" ht="12.75">
      <c r="A33" s="1"/>
    </row>
    <row r="34" ht="57" customHeight="1">
      <c r="A34" s="158" t="s">
        <v>285</v>
      </c>
    </row>
    <row r="35" spans="1:14" ht="12.75">
      <c r="A35" s="11" t="s">
        <v>93</v>
      </c>
      <c r="B35" s="151">
        <f>'Monthly LL'!B68</f>
        <v>0.114866259412574</v>
      </c>
      <c r="C35" s="151">
        <f>'Monthly LL'!C68</f>
        <v>0.11628518843282465</v>
      </c>
      <c r="D35" s="151">
        <f>'Monthly LL'!D68</f>
        <v>0.1076444580739715</v>
      </c>
      <c r="E35" s="151">
        <f>'Monthly LL'!E68</f>
        <v>0.0955991400150853</v>
      </c>
      <c r="F35" s="151">
        <f>'Monthly LL'!F68</f>
        <v>0.09445271725457971</v>
      </c>
      <c r="G35" s="151">
        <f>'Monthly LL'!G68</f>
        <v>0.07722240647278378</v>
      </c>
      <c r="H35" s="151">
        <f>'Monthly LL'!H68</f>
        <v>0.07757256722615935</v>
      </c>
      <c r="I35" s="151">
        <f>'Monthly LL'!I68</f>
        <v>0.08805285589415757</v>
      </c>
      <c r="J35" s="151">
        <f>'Monthly LL'!J68</f>
        <v>0.07213371910986366</v>
      </c>
      <c r="K35" s="151">
        <f>'Monthly LL'!K68</f>
        <v>0.08692591264277638</v>
      </c>
      <c r="L35" s="151">
        <f>'Monthly LL'!L68</f>
        <v>0.09600376421714096</v>
      </c>
      <c r="M35" s="151">
        <f>'Monthly LL'!M68</f>
        <v>0.12936315932083775</v>
      </c>
      <c r="N35" s="152">
        <f>'Monthly LL'!N68</f>
        <v>0.10005959573740997</v>
      </c>
    </row>
    <row r="36" spans="1:14" ht="12.75">
      <c r="A36" s="11" t="s">
        <v>94</v>
      </c>
      <c r="B36" s="153">
        <f>'Monthly LL'!B69</f>
        <v>0.11872165515267352</v>
      </c>
      <c r="C36" s="153">
        <f>'Monthly LL'!C69</f>
        <v>0.12119427769796709</v>
      </c>
      <c r="D36" s="153">
        <f>'Monthly LL'!D69</f>
        <v>0.12089668105853724</v>
      </c>
      <c r="E36" s="153">
        <f>'Monthly LL'!E69</f>
        <v>0.10165688520207738</v>
      </c>
      <c r="F36" s="153">
        <f>'Monthly LL'!F69</f>
        <v>0.09434164445531157</v>
      </c>
      <c r="G36" s="153">
        <f>'Monthly LL'!G69</f>
        <v>0.0762545610043075</v>
      </c>
      <c r="H36" s="153">
        <f>'Monthly LL'!H69</f>
        <v>0.07653412688328154</v>
      </c>
      <c r="I36" s="153">
        <f>'Monthly LL'!I69</f>
        <v>0.09027040876919501</v>
      </c>
      <c r="J36" s="153">
        <f>'Monthly LL'!J69</f>
        <v>0.0731661211793937</v>
      </c>
      <c r="K36" s="153">
        <f>'Monthly LL'!K69</f>
        <v>0.09407733980524946</v>
      </c>
      <c r="L36" s="153">
        <f>'Monthly LL'!L69</f>
        <v>0.10087766127940423</v>
      </c>
      <c r="M36" s="153">
        <f>'Monthly LL'!M69</f>
        <v>0.13092299368606275</v>
      </c>
      <c r="N36" s="154">
        <f>'Monthly LL'!N69</f>
        <v>0.10831632594900009</v>
      </c>
    </row>
    <row r="37" spans="1:14" ht="12.75">
      <c r="A37" s="11" t="s">
        <v>95</v>
      </c>
      <c r="B37" s="151">
        <f>'Monthly LL'!B70</f>
        <v>0.11509027095298618</v>
      </c>
      <c r="C37" s="151">
        <f>'Monthly LL'!C70</f>
        <v>0.11656260578650546</v>
      </c>
      <c r="D37" s="151">
        <f>'Monthly LL'!D70</f>
        <v>0.10837831345503801</v>
      </c>
      <c r="E37" s="151">
        <f>'Monthly LL'!E70</f>
        <v>0.09593966428384171</v>
      </c>
      <c r="F37" s="151">
        <f>'Monthly LL'!F70</f>
        <v>0.09444747616874105</v>
      </c>
      <c r="G37" s="151">
        <f>'Monthly LL'!G70</f>
        <v>0.07718712546982864</v>
      </c>
      <c r="H37" s="151">
        <f>'Monthly LL'!H70</f>
        <v>0.07754001542992195</v>
      </c>
      <c r="I37" s="151">
        <f>'Monthly LL'!I70</f>
        <v>0.08811881143709144</v>
      </c>
      <c r="J37" s="151">
        <f>'Monthly LL'!J70</f>
        <v>0.0721679113848297</v>
      </c>
      <c r="K37" s="151">
        <f>'Monthly LL'!K70</f>
        <v>0.0872154495959836</v>
      </c>
      <c r="L37" s="151">
        <f>'Monthly LL'!L70</f>
        <v>0.09626051227518095</v>
      </c>
      <c r="M37" s="151">
        <f>'Monthly LL'!M70</f>
        <v>0.1294699486976496</v>
      </c>
      <c r="N37" s="152">
        <f>'Monthly LL'!N70</f>
        <v>0.100471161413906</v>
      </c>
    </row>
    <row r="38" spans="1:14" ht="12.75">
      <c r="A38" s="11" t="s">
        <v>46</v>
      </c>
      <c r="B38" s="151">
        <f>'Monthly LL'!B71</f>
        <v>0.10271494601491238</v>
      </c>
      <c r="C38" s="151">
        <f>'Monthly LL'!C71</f>
        <v>0.10391474790839661</v>
      </c>
      <c r="D38" s="151">
        <f>'Monthly LL'!D71</f>
        <v>0.10768032991228771</v>
      </c>
      <c r="E38" s="151">
        <f>'Monthly LL'!E71</f>
        <v>0.09618265092667433</v>
      </c>
      <c r="F38" s="151">
        <f>'Monthly LL'!F71</f>
        <v>0.09747584940396137</v>
      </c>
      <c r="G38" s="151">
        <f>'Monthly LL'!G71</f>
        <v>0.0727252372081757</v>
      </c>
      <c r="H38" s="151">
        <f>'Monthly LL'!H71</f>
        <v>0.08041994183407142</v>
      </c>
      <c r="I38" s="151">
        <f>'Monthly LL'!I71</f>
        <v>0.09574568946163242</v>
      </c>
      <c r="J38" s="151">
        <f>'Monthly LL'!J71</f>
        <v>0.07634795898377633</v>
      </c>
      <c r="K38" s="151">
        <f>'Monthly LL'!K71</f>
        <v>0.08469676154939476</v>
      </c>
      <c r="L38" s="151">
        <f>'Monthly LL'!L71</f>
        <v>0.09315285132460471</v>
      </c>
      <c r="M38" s="151">
        <f>'Monthly LL'!M71</f>
        <v>0.11417031798028043</v>
      </c>
      <c r="N38" s="152">
        <f>'Monthly LL'!N71</f>
        <v>0.09535035225051347</v>
      </c>
    </row>
    <row r="39" spans="1:14" ht="12.75">
      <c r="A39" s="11" t="s">
        <v>47</v>
      </c>
      <c r="B39" s="151">
        <f>'Monthly LL'!B72</f>
        <v>0.07126035793463736</v>
      </c>
      <c r="C39" s="151">
        <f>'Monthly LL'!C72</f>
        <v>0.07508920196205504</v>
      </c>
      <c r="D39" s="151">
        <f>'Monthly LL'!D72</f>
        <v>0.07909382724781167</v>
      </c>
      <c r="E39" s="151">
        <f>'Monthly LL'!E72</f>
        <v>0.06665531169030636</v>
      </c>
      <c r="F39" s="151">
        <f>'Monthly LL'!F72</f>
        <v>0.06895513687438792</v>
      </c>
      <c r="G39" s="151">
        <f>'Monthly LL'!G72</f>
        <v>0.05408379303038391</v>
      </c>
      <c r="H39" s="151">
        <f>'Monthly LL'!H72</f>
        <v>0.05702258005789407</v>
      </c>
      <c r="I39" s="151">
        <f>'Monthly LL'!I72</f>
        <v>0.06492467817492353</v>
      </c>
      <c r="J39" s="151">
        <f>'Monthly LL'!J72</f>
        <v>0.0517640302763116</v>
      </c>
      <c r="K39" s="151">
        <f>'Monthly LL'!K72</f>
        <v>0.06288923473298458</v>
      </c>
      <c r="L39" s="151">
        <f>'Monthly LL'!L72</f>
        <v>0.06179146905056254</v>
      </c>
      <c r="M39" s="151">
        <f>'Monthly LL'!M72</f>
        <v>0.07993844933741823</v>
      </c>
      <c r="N39" s="152">
        <f>'Monthly LL'!N72</f>
        <v>0.06672161888165062</v>
      </c>
    </row>
    <row r="40" spans="1:14" ht="12.75">
      <c r="A40" s="11" t="s">
        <v>48</v>
      </c>
      <c r="B40" s="151">
        <f>'Monthly LL'!B73</f>
        <v>0.06906764765137674</v>
      </c>
      <c r="C40" s="151">
        <f>'Monthly LL'!C73</f>
        <v>0.07014052521395864</v>
      </c>
      <c r="D40" s="151">
        <f>'Monthly LL'!D73</f>
        <v>0.07198951627625094</v>
      </c>
      <c r="E40" s="151">
        <f>'Monthly LL'!E73</f>
        <v>0.06539869106290475</v>
      </c>
      <c r="F40" s="151">
        <f>'Monthly LL'!F73</f>
        <v>0.06846827782958154</v>
      </c>
      <c r="G40" s="151">
        <f>'Monthly LL'!G73</f>
        <v>0.052545290897639596</v>
      </c>
      <c r="H40" s="151">
        <f>'Monthly LL'!H73</f>
        <v>0.061494840610974544</v>
      </c>
      <c r="I40" s="151">
        <f>'Monthly LL'!I73</f>
        <v>0.07235873553226635</v>
      </c>
      <c r="J40" s="151">
        <f>'Monthly LL'!J73</f>
        <v>0.054862044780795705</v>
      </c>
      <c r="K40" s="151">
        <f>'Monthly LL'!K73</f>
        <v>0.0658094879897626</v>
      </c>
      <c r="L40" s="151">
        <f>'Monthly LL'!L73</f>
        <v>0.06188434878104854</v>
      </c>
      <c r="M40" s="151">
        <f>'Monthly LL'!M73</f>
        <v>0.0809286534313256</v>
      </c>
      <c r="N40" s="152">
        <f>'Monthly LL'!N73</f>
        <v>0.06622989831694603</v>
      </c>
    </row>
    <row r="41" spans="1:14" ht="12.75">
      <c r="A41" s="11" t="s">
        <v>49</v>
      </c>
      <c r="B41" s="151">
        <f>'Monthly LL'!B74</f>
        <v>0.058533222160011444</v>
      </c>
      <c r="C41" s="151">
        <f>'Monthly LL'!C74</f>
        <v>0.06192109146751967</v>
      </c>
      <c r="D41" s="151">
        <f>'Monthly LL'!D74</f>
        <v>0.0674689224091698</v>
      </c>
      <c r="E41" s="151">
        <f>'Monthly LL'!E74</f>
        <v>0.060486329472386746</v>
      </c>
      <c r="F41" s="151">
        <f>'Monthly LL'!F74</f>
        <v>0.06800698545628037</v>
      </c>
      <c r="G41" s="151">
        <f>'Monthly LL'!G74</f>
        <v>0.056535982546548125</v>
      </c>
      <c r="H41" s="151">
        <f>'Monthly LL'!H74</f>
        <v>0.05573961174998576</v>
      </c>
      <c r="I41" s="151">
        <f>'Monthly LL'!I74</f>
        <v>0.06373818415046983</v>
      </c>
      <c r="J41" s="151">
        <f>'Monthly LL'!J74</f>
        <v>0.05204901281353469</v>
      </c>
      <c r="K41" s="151">
        <f>'Monthly LL'!K74</f>
        <v>0.06220912501771547</v>
      </c>
      <c r="L41" s="151">
        <f>'Monthly LL'!L74</f>
        <v>0.05989918171866937</v>
      </c>
      <c r="M41" s="151">
        <f>'Monthly LL'!M74</f>
        <v>0.07279111931073756</v>
      </c>
      <c r="N41" s="152">
        <f>'Monthly LL'!N74</f>
        <v>0.06172596141856923</v>
      </c>
    </row>
    <row r="42" spans="1:14" ht="12.75">
      <c r="A42" s="11" t="s">
        <v>50</v>
      </c>
      <c r="B42" s="151">
        <f>'Monthly LL'!B75</f>
        <v>0.054493388054461356</v>
      </c>
      <c r="C42" s="151">
        <f>'Monthly LL'!C75</f>
        <v>0.05786727220860999</v>
      </c>
      <c r="D42" s="151">
        <f>'Monthly LL'!D75</f>
        <v>0.06187111268651324</v>
      </c>
      <c r="E42" s="151">
        <f>'Monthly LL'!E75</f>
        <v>0.056073371010245676</v>
      </c>
      <c r="F42" s="151">
        <f>'Monthly LL'!F75</f>
        <v>0.06637290855130029</v>
      </c>
      <c r="G42" s="151">
        <f>'Monthly LL'!G75</f>
        <v>0.05295880383994289</v>
      </c>
      <c r="H42" s="151">
        <f>'Monthly LL'!H75</f>
        <v>0.05195012361115836</v>
      </c>
      <c r="I42" s="151">
        <f>'Monthly LL'!I75</f>
        <v>0.06204599619149875</v>
      </c>
      <c r="J42" s="151">
        <f>'Monthly LL'!J75</f>
        <v>0.050141278791950405</v>
      </c>
      <c r="K42" s="151">
        <f>'Monthly LL'!K75</f>
        <v>0.0587827432303647</v>
      </c>
      <c r="L42" s="151">
        <f>'Monthly LL'!L75</f>
        <v>0.05530911291583651</v>
      </c>
      <c r="M42" s="151">
        <f>'Monthly LL'!M75</f>
        <v>0.06871484877005862</v>
      </c>
      <c r="N42" s="152">
        <f>'Monthly LL'!N75</f>
        <v>0.0580190419164186</v>
      </c>
    </row>
    <row r="43" spans="1:14" ht="12.75">
      <c r="A43" s="11" t="s">
        <v>51</v>
      </c>
      <c r="B43" s="151">
        <f>'Monthly LL'!B76</f>
        <v>0.04218003417221006</v>
      </c>
      <c r="C43" s="151">
        <f>'Monthly LL'!C76</f>
        <v>0.04501308748441435</v>
      </c>
      <c r="D43" s="151">
        <f>'Monthly LL'!D76</f>
        <v>0.04884884300200709</v>
      </c>
      <c r="E43" s="151">
        <f>'Monthly LL'!E76</f>
        <v>0.04519130551247841</v>
      </c>
      <c r="F43" s="151">
        <f>'Monthly LL'!F76</f>
        <v>0.05511770613532341</v>
      </c>
      <c r="G43" s="151">
        <f>'Monthly LL'!G76</f>
        <v>0.04442250556691363</v>
      </c>
      <c r="H43" s="151">
        <f>'Monthly LL'!H76</f>
        <v>0.04365101624612433</v>
      </c>
      <c r="I43" s="151">
        <f>'Monthly LL'!I76</f>
        <v>0.0524291063320117</v>
      </c>
      <c r="J43" s="151">
        <f>'Monthly LL'!J76</f>
        <v>0.04391738732359518</v>
      </c>
      <c r="K43" s="151">
        <f>'Monthly LL'!K76</f>
        <v>0.05106473045182125</v>
      </c>
      <c r="L43" s="151">
        <f>'Monthly LL'!L76</f>
        <v>0.04289935101583886</v>
      </c>
      <c r="M43" s="151">
        <f>'Monthly LL'!M76</f>
        <v>0.05565012235118072</v>
      </c>
      <c r="N43" s="152">
        <f>'Monthly LL'!N76</f>
        <v>0.047595950801913034</v>
      </c>
    </row>
    <row r="44" spans="1:14" ht="12.75">
      <c r="A44" s="11" t="s">
        <v>55</v>
      </c>
      <c r="B44" s="151">
        <f>'Monthly LL'!B77</f>
        <v>0.02039999999999842</v>
      </c>
      <c r="C44" s="151">
        <f>'Monthly LL'!C77</f>
        <v>0.020399999999998197</v>
      </c>
      <c r="D44" s="151">
        <f>'Monthly LL'!D77</f>
        <v>0.020399999999998197</v>
      </c>
      <c r="E44" s="151">
        <f>'Monthly LL'!E77</f>
        <v>0.020400000000000196</v>
      </c>
      <c r="F44" s="151">
        <f>'Monthly LL'!F77</f>
        <v>0.02039999999999842</v>
      </c>
      <c r="G44" s="151">
        <f>'Monthly LL'!G77</f>
        <v>0.020400000000000196</v>
      </c>
      <c r="H44" s="151">
        <f>'Monthly LL'!H77</f>
        <v>0.02039999999999842</v>
      </c>
      <c r="I44" s="151">
        <f>'Monthly LL'!I77</f>
        <v>0.02039999999999842</v>
      </c>
      <c r="J44" s="151">
        <f>'Monthly LL'!J77</f>
        <v>0.020399999999999974</v>
      </c>
      <c r="K44" s="151">
        <f>'Monthly LL'!K77</f>
        <v>0.02039999999999842</v>
      </c>
      <c r="L44" s="151">
        <f>'Monthly LL'!L77</f>
        <v>0.020400000000000196</v>
      </c>
      <c r="M44" s="151">
        <f>'Monthly LL'!M77</f>
        <v>0.02039999999999842</v>
      </c>
      <c r="N44" s="152">
        <f>'Monthly LL'!N77</f>
        <v>0.02039999999999864</v>
      </c>
    </row>
    <row r="45" spans="1:14" ht="12.75">
      <c r="A45" s="11" t="s">
        <v>52</v>
      </c>
      <c r="B45" s="151">
        <f>'Monthly LL'!B78</f>
        <v>0.04499875236371276</v>
      </c>
      <c r="C45" s="151">
        <f>'Monthly LL'!C78</f>
        <v>0.04762755930206497</v>
      </c>
      <c r="D45" s="151">
        <f>'Monthly LL'!D78</f>
        <v>0.052805556771027495</v>
      </c>
      <c r="E45" s="151">
        <f>'Monthly LL'!E78</f>
        <v>0.049170529030821974</v>
      </c>
      <c r="F45" s="151">
        <f>'Monthly LL'!F78</f>
        <v>0.057682831611018726</v>
      </c>
      <c r="G45" s="151">
        <f>'Monthly LL'!G78</f>
        <v>0.046316173935951</v>
      </c>
      <c r="H45" s="151">
        <f>'Monthly LL'!H78</f>
        <v>0.04595924770329152</v>
      </c>
      <c r="I45" s="151">
        <f>'Monthly LL'!I78</f>
        <v>0.05268370363558539</v>
      </c>
      <c r="J45" s="151">
        <f>'Monthly LL'!J78</f>
        <v>0.04272509833544502</v>
      </c>
      <c r="K45" s="151">
        <f>'Monthly LL'!K78</f>
        <v>0.0490868223203873</v>
      </c>
      <c r="L45" s="151">
        <f>'Monthly LL'!L78</f>
        <v>0.04329524381005245</v>
      </c>
      <c r="M45" s="151">
        <f>'Monthly LL'!M78</f>
        <v>0.05745039318703782</v>
      </c>
      <c r="N45" s="152">
        <f>'Monthly LL'!N78</f>
        <v>0.049221586069637446</v>
      </c>
    </row>
    <row r="46" spans="1:14" ht="12.75">
      <c r="A46" s="11" t="s">
        <v>53</v>
      </c>
      <c r="B46" s="153">
        <f>'Monthly LL'!B79</f>
        <v>0.11804480482616286</v>
      </c>
      <c r="C46" s="153">
        <f>'Monthly LL'!C79</f>
        <v>0.12586628688092172</v>
      </c>
      <c r="D46" s="153">
        <f>'Monthly LL'!D79</f>
        <v>0.12934581405095846</v>
      </c>
      <c r="E46" s="153">
        <f>'Monthly LL'!E79</f>
        <v>0.10743791814940362</v>
      </c>
      <c r="F46" s="153">
        <f>'Monthly LL'!F79</f>
        <v>0.12185975189545228</v>
      </c>
      <c r="G46" s="153">
        <f>'Monthly LL'!G79</f>
        <v>0.09065935396277935</v>
      </c>
      <c r="H46" s="153">
        <f>'Monthly LL'!H79</f>
        <v>0.09231503729327928</v>
      </c>
      <c r="I46" s="153">
        <f>'Monthly LL'!I79</f>
        <v>0.099231536757874</v>
      </c>
      <c r="J46" s="153">
        <f>'Monthly LL'!J79</f>
        <v>0.07692277388235591</v>
      </c>
      <c r="K46" s="153">
        <f>'Monthly LL'!K79</f>
        <v>0.09265949977642163</v>
      </c>
      <c r="L46" s="153">
        <f>'Monthly LL'!L79</f>
        <v>0.08841918015933947</v>
      </c>
      <c r="M46" s="153">
        <f>'Monthly LL'!M79</f>
        <v>0.1326237027998327</v>
      </c>
      <c r="N46" s="154">
        <f>'Monthly LL'!N79</f>
        <v>0.106388058620974</v>
      </c>
    </row>
    <row r="47" spans="1:14" ht="12.75">
      <c r="A47" s="10" t="s">
        <v>56</v>
      </c>
      <c r="B47" s="155">
        <f>'Monthly LL'!B80</f>
        <v>0.08228739100254034</v>
      </c>
      <c r="C47" s="155">
        <f>'Monthly LL'!C80</f>
        <v>0.08333052427793497</v>
      </c>
      <c r="D47" s="155">
        <f>'Monthly LL'!D80</f>
        <v>0.08053785483580511</v>
      </c>
      <c r="E47" s="155">
        <f>'Monthly LL'!E80</f>
        <v>0.0691416196642185</v>
      </c>
      <c r="F47" s="155">
        <f>'Monthly LL'!F80</f>
        <v>0.06961634217051316</v>
      </c>
      <c r="G47" s="155">
        <f>'Monthly LL'!G80</f>
        <v>0.0552911884152445</v>
      </c>
      <c r="H47" s="155">
        <f>'Monthly LL'!H80</f>
        <v>0.056289324599894996</v>
      </c>
      <c r="I47" s="155">
        <f>'Monthly LL'!I80</f>
        <v>0.06378231546739377</v>
      </c>
      <c r="J47" s="155">
        <f>'Monthly LL'!J80</f>
        <v>0.05257702067743231</v>
      </c>
      <c r="K47" s="155">
        <f>'Monthly LL'!K80</f>
        <v>0.06325689915900212</v>
      </c>
      <c r="L47" s="155">
        <f>'Monthly LL'!L80</f>
        <v>0.0670832326405486</v>
      </c>
      <c r="M47" s="155">
        <f>'Monthly LL'!M80</f>
        <v>0.09174751811583293</v>
      </c>
      <c r="N47" s="155">
        <f>'Monthly LL'!N80</f>
        <v>0.07087355905408232</v>
      </c>
    </row>
    <row r="48" spans="1:14" ht="12.75">
      <c r="A48" s="10"/>
      <c r="B48" s="152">
        <f>'Monthly LL'!B81</f>
        <v>0</v>
      </c>
      <c r="C48" s="152">
        <f>'Monthly LL'!C81</f>
        <v>0</v>
      </c>
      <c r="D48" s="152">
        <f>'Monthly LL'!D81</f>
        <v>0</v>
      </c>
      <c r="E48" s="152">
        <f>'Monthly LL'!E81</f>
        <v>0</v>
      </c>
      <c r="F48" s="152">
        <f>'Monthly LL'!F81</f>
        <v>0</v>
      </c>
      <c r="G48" s="152">
        <f>'Monthly LL'!G81</f>
        <v>0</v>
      </c>
      <c r="H48" s="152">
        <f>'Monthly LL'!H81</f>
        <v>0</v>
      </c>
      <c r="I48" s="152">
        <f>'Monthly LL'!I81</f>
        <v>0</v>
      </c>
      <c r="J48" s="152">
        <f>'Monthly LL'!J81</f>
        <v>0</v>
      </c>
      <c r="K48" s="152">
        <f>'Monthly LL'!K81</f>
        <v>0</v>
      </c>
      <c r="L48" s="152">
        <f>'Monthly LL'!L81</f>
        <v>0</v>
      </c>
      <c r="M48" s="152">
        <f>'Monthly LL'!M81</f>
        <v>0</v>
      </c>
      <c r="N48" s="152">
        <f>'Monthly LL'!N81</f>
        <v>0</v>
      </c>
    </row>
    <row r="49" spans="1:14" ht="12.75">
      <c r="A49" s="322" t="s">
        <v>96</v>
      </c>
      <c r="B49" s="152">
        <f>'Monthly LL'!B82</f>
        <v>0</v>
      </c>
      <c r="C49" s="152">
        <f>'Monthly LL'!C82</f>
        <v>0</v>
      </c>
      <c r="D49" s="152">
        <f>'Monthly LL'!D82</f>
        <v>0</v>
      </c>
      <c r="E49" s="152">
        <f>'Monthly LL'!E82</f>
        <v>0</v>
      </c>
      <c r="F49" s="152">
        <f>'Monthly LL'!F82</f>
        <v>0</v>
      </c>
      <c r="G49" s="152">
        <f>'Monthly LL'!G82</f>
        <v>0</v>
      </c>
      <c r="H49" s="152">
        <f>'Monthly LL'!H82</f>
        <v>0</v>
      </c>
      <c r="I49" s="152">
        <f>'Monthly LL'!I82</f>
        <v>0</v>
      </c>
      <c r="J49" s="152">
        <f>'Monthly LL'!J82</f>
        <v>0</v>
      </c>
      <c r="K49" s="152">
        <f>'Monthly LL'!K82</f>
        <v>0</v>
      </c>
      <c r="L49" s="152">
        <f>'Monthly LL'!L82</f>
        <v>0</v>
      </c>
      <c r="M49" s="152">
        <f>'Monthly LL'!M82</f>
        <v>0</v>
      </c>
      <c r="N49" s="152">
        <f>'Monthly LL'!N82</f>
        <v>0</v>
      </c>
    </row>
    <row r="50" spans="1:14" ht="12.75">
      <c r="A50" s="323" t="s">
        <v>74</v>
      </c>
      <c r="B50" s="152">
        <f>'Monthly LL'!B83</f>
        <v>0</v>
      </c>
      <c r="C50" s="152">
        <f>'Monthly LL'!C83</f>
        <v>0</v>
      </c>
      <c r="D50" s="152">
        <f>'Monthly LL'!D83</f>
        <v>0</v>
      </c>
      <c r="E50" s="152">
        <f>'Monthly LL'!E83</f>
        <v>0</v>
      </c>
      <c r="F50" s="152">
        <f>'Monthly LL'!F83</f>
        <v>0</v>
      </c>
      <c r="G50" s="152">
        <f>'Monthly LL'!G83</f>
        <v>0</v>
      </c>
      <c r="H50" s="152">
        <f>'Monthly LL'!H83</f>
        <v>0</v>
      </c>
      <c r="I50" s="152">
        <f>'Monthly LL'!I83</f>
        <v>0</v>
      </c>
      <c r="J50" s="152">
        <f>'Monthly LL'!J83</f>
        <v>0</v>
      </c>
      <c r="K50" s="152">
        <f>'Monthly LL'!K83</f>
        <v>0</v>
      </c>
      <c r="L50" s="152">
        <f>'Monthly LL'!L83</f>
        <v>0</v>
      </c>
      <c r="M50" s="152">
        <f>'Monthly LL'!M83</f>
        <v>0</v>
      </c>
      <c r="N50" s="152">
        <f>'Monthly LL'!N83</f>
        <v>0</v>
      </c>
    </row>
    <row r="51" spans="1:14" ht="12.75">
      <c r="A51" s="323" t="s">
        <v>162</v>
      </c>
      <c r="B51" s="152">
        <f>'Monthly LL'!B84</f>
        <v>0.020399999999999974</v>
      </c>
      <c r="C51" s="152">
        <f>'Monthly LL'!C84</f>
        <v>0.020399999999999974</v>
      </c>
      <c r="D51" s="152">
        <f>'Monthly LL'!D84</f>
        <v>0.02039999999999975</v>
      </c>
      <c r="E51" s="152">
        <f>'Monthly LL'!E84</f>
        <v>0.020399999999999974</v>
      </c>
      <c r="F51" s="152">
        <f>'Monthly LL'!F84</f>
        <v>0.020399999999999974</v>
      </c>
      <c r="G51" s="152">
        <f>'Monthly LL'!G84</f>
        <v>0.020399999999999974</v>
      </c>
      <c r="H51" s="152">
        <f>'Monthly LL'!H84</f>
        <v>0.020399999999999974</v>
      </c>
      <c r="I51" s="152">
        <f>'Monthly LL'!I84</f>
        <v>0.020399999999999974</v>
      </c>
      <c r="J51" s="152">
        <f>'Monthly LL'!J84</f>
        <v>0.020399999999999974</v>
      </c>
      <c r="K51" s="152">
        <f>'Monthly LL'!K84</f>
        <v>0.020399999999999974</v>
      </c>
      <c r="L51" s="152">
        <f>'Monthly LL'!L84</f>
        <v>0.020399999999999974</v>
      </c>
      <c r="M51" s="152">
        <f>'Monthly LL'!M84</f>
        <v>0.020399999999999974</v>
      </c>
      <c r="N51" s="152">
        <f>'Monthly LL'!N84</f>
        <v>0.020399999999999974</v>
      </c>
    </row>
    <row r="52" spans="1:14" ht="12.75">
      <c r="A52" s="324" t="s">
        <v>163</v>
      </c>
      <c r="B52" s="156">
        <f>'Monthly LL'!B85</f>
        <v>0</v>
      </c>
      <c r="C52" s="156">
        <f>'Monthly LL'!C85</f>
        <v>0</v>
      </c>
      <c r="D52" s="156">
        <f>'Monthly LL'!D85</f>
        <v>0</v>
      </c>
      <c r="E52" s="156">
        <f>'Monthly LL'!E85</f>
        <v>0</v>
      </c>
      <c r="F52" s="156">
        <f>'Monthly LL'!F85</f>
        <v>0</v>
      </c>
      <c r="G52" s="156">
        <f>'Monthly LL'!G85</f>
        <v>0</v>
      </c>
      <c r="H52" s="156">
        <f>'Monthly LL'!H85</f>
        <v>0</v>
      </c>
      <c r="I52" s="156">
        <f>'Monthly LL'!I85</f>
        <v>0</v>
      </c>
      <c r="J52" s="156">
        <f>'Monthly LL'!J85</f>
        <v>0</v>
      </c>
      <c r="K52" s="156">
        <f>'Monthly LL'!K85</f>
        <v>0</v>
      </c>
      <c r="L52" s="156">
        <f>'Monthly LL'!L85</f>
        <v>0</v>
      </c>
      <c r="M52" s="156">
        <f>'Monthly LL'!M85</f>
        <v>0</v>
      </c>
      <c r="N52" s="156">
        <f>'Monthly LL'!N85</f>
        <v>0</v>
      </c>
    </row>
    <row r="53" spans="1:14" ht="12.75">
      <c r="A53" s="1" t="s">
        <v>31</v>
      </c>
      <c r="B53" s="152">
        <f>'Monthly LL'!B86</f>
        <v>0.02039916739636638</v>
      </c>
      <c r="C53" s="152">
        <f>'Monthly LL'!C86</f>
        <v>0.02040000012263543</v>
      </c>
      <c r="D53" s="152">
        <f>'Monthly LL'!D86</f>
        <v>0.020399999866211438</v>
      </c>
      <c r="E53" s="152">
        <f>'Monthly LL'!E86</f>
        <v>0.020399999884124442</v>
      </c>
      <c r="F53" s="152">
        <f>'Monthly LL'!F86</f>
        <v>0.02039999987293517</v>
      </c>
      <c r="G53" s="152">
        <f>'Monthly LL'!G86</f>
        <v>0.02039999987117458</v>
      </c>
      <c r="H53" s="152">
        <f>'Monthly LL'!H86</f>
        <v>0.020399999888846887</v>
      </c>
      <c r="I53" s="152">
        <f>'Monthly LL'!I86</f>
        <v>0.02040000009790055</v>
      </c>
      <c r="J53" s="152">
        <f>'Monthly LL'!J86</f>
        <v>0.020399999927251278</v>
      </c>
      <c r="K53" s="152">
        <f>'Monthly LL'!K86</f>
        <v>0.02039999988731811</v>
      </c>
      <c r="L53" s="152">
        <f>'Monthly LL'!L86</f>
        <v>0.020400000117911432</v>
      </c>
      <c r="M53" s="152">
        <f>'Monthly LL'!M86</f>
        <v>0.02040000013100296</v>
      </c>
      <c r="N53" s="152">
        <f>'Monthly LL'!N86</f>
        <v>0.02039993408575369</v>
      </c>
    </row>
    <row r="54" spans="1:14" ht="12.75">
      <c r="A54" s="1" t="s">
        <v>282</v>
      </c>
      <c r="B54" s="152">
        <f>'Monthly LL'!B87</f>
        <v>0.020399999999999974</v>
      </c>
      <c r="C54" s="152">
        <f>'Monthly LL'!C87</f>
        <v>0.020399999999999974</v>
      </c>
      <c r="D54" s="152">
        <f>'Monthly LL'!D87</f>
        <v>0.020399999999999974</v>
      </c>
      <c r="E54" s="152">
        <f>'Monthly LL'!E87</f>
        <v>0.020399999999999974</v>
      </c>
      <c r="F54" s="152">
        <f>'Monthly LL'!F87</f>
        <v>0.020399999999999974</v>
      </c>
      <c r="G54" s="152">
        <f>'Monthly LL'!G87</f>
        <v>0.020399999999999974</v>
      </c>
      <c r="H54" s="152">
        <f>'Monthly LL'!H87</f>
        <v>0.020399999999999974</v>
      </c>
      <c r="I54" s="152">
        <f>'Monthly LL'!I87</f>
        <v>0.020400000000000196</v>
      </c>
      <c r="J54" s="152">
        <f>'Monthly LL'!J87</f>
        <v>0.020399999999999974</v>
      </c>
      <c r="K54" s="152">
        <f>'Monthly LL'!K87</f>
        <v>0.020399999999999974</v>
      </c>
      <c r="L54" s="152">
        <f>'Monthly LL'!L87</f>
        <v>0.020399999999999974</v>
      </c>
      <c r="M54" s="152">
        <f>'Monthly LL'!M87</f>
        <v>0.020399999999999974</v>
      </c>
      <c r="N54" s="152">
        <f>'Monthly LL'!N87</f>
        <v>0.020399999999999974</v>
      </c>
    </row>
    <row r="55" spans="1:14" ht="12.75">
      <c r="A55" s="326" t="s">
        <v>134</v>
      </c>
      <c r="B55" s="154">
        <f>'Monthly LL'!B88</f>
        <v>0</v>
      </c>
      <c r="C55" s="154">
        <f>'Monthly LL'!C88</f>
        <v>0</v>
      </c>
      <c r="D55" s="154">
        <f>'Monthly LL'!D88</f>
        <v>0</v>
      </c>
      <c r="E55" s="153">
        <f>'Monthly LL'!E88</f>
        <v>0</v>
      </c>
      <c r="F55" s="153">
        <f>'Monthly LL'!F88</f>
        <v>0</v>
      </c>
      <c r="G55" s="153">
        <f>'Monthly LL'!G88</f>
        <v>0</v>
      </c>
      <c r="H55" s="153">
        <f>'Monthly LL'!H88</f>
        <v>0</v>
      </c>
      <c r="I55" s="153">
        <f>'Monthly LL'!I88</f>
        <v>0</v>
      </c>
      <c r="J55" s="154">
        <f>'Monthly LL'!J88</f>
        <v>0</v>
      </c>
      <c r="K55" s="154">
        <f>'Monthly LL'!K88</f>
        <v>0</v>
      </c>
      <c r="L55" s="154">
        <f>'Monthly LL'!L88</f>
        <v>0</v>
      </c>
      <c r="M55" s="154">
        <f>'Monthly LL'!M88</f>
        <v>0</v>
      </c>
      <c r="N55" s="152">
        <f>'Monthly LL'!N88</f>
        <v>0</v>
      </c>
    </row>
    <row r="56" spans="1:14" ht="12.75">
      <c r="A56" s="2" t="s">
        <v>99</v>
      </c>
      <c r="B56" s="155">
        <f>'Monthly LL'!B89</f>
        <v>0.020399820653753675</v>
      </c>
      <c r="C56" s="155">
        <f>'Monthly LL'!C89</f>
        <v>0.02040000002717246</v>
      </c>
      <c r="D56" s="155">
        <f>'Monthly LL'!D89</f>
        <v>0.020399999973751637</v>
      </c>
      <c r="E56" s="155">
        <f>'Monthly LL'!E89</f>
        <v>0.020399999973866656</v>
      </c>
      <c r="F56" s="155">
        <f>'Monthly LL'!F89</f>
        <v>0.020399999974021643</v>
      </c>
      <c r="G56" s="155">
        <f>'Monthly LL'!G89</f>
        <v>0.020399999973260474</v>
      </c>
      <c r="H56" s="155">
        <f>'Monthly LL'!H89</f>
        <v>0.020399999974760163</v>
      </c>
      <c r="I56" s="155">
        <f>'Monthly LL'!I89</f>
        <v>0.020400000024487053</v>
      </c>
      <c r="J56" s="155">
        <f>'Monthly LL'!J89</f>
        <v>0.020399999976948857</v>
      </c>
      <c r="K56" s="155">
        <f>'Monthly LL'!K89</f>
        <v>0.020399999974682226</v>
      </c>
      <c r="L56" s="155">
        <f>'Monthly LL'!L89</f>
        <v>0.020400000026235432</v>
      </c>
      <c r="M56" s="155">
        <f>'Monthly LL'!M89</f>
        <v>0.020400000026139065</v>
      </c>
      <c r="N56" s="155">
        <f>'Monthly LL'!N89</f>
        <v>0.020399985029813328</v>
      </c>
    </row>
    <row r="57" spans="1:14" ht="7.5" customHeight="1">
      <c r="A57" s="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12.75">
      <c r="A58" s="2" t="s">
        <v>136</v>
      </c>
      <c r="B58" s="155">
        <f>'Monthly LL'!B91</f>
        <v>-5.410440206965461E-09</v>
      </c>
      <c r="C58" s="155">
        <f>'Monthly LL'!C91</f>
        <v>-1.965584695007294E-09</v>
      </c>
      <c r="D58" s="155">
        <f>'Monthly LL'!D91</f>
        <v>4.40699100412445E-06</v>
      </c>
      <c r="E58" s="155">
        <f>'Monthly LL'!E91</f>
        <v>9.65227897609111E-13</v>
      </c>
      <c r="F58" s="155">
        <f>'Monthly LL'!F91</f>
        <v>2.021049994027635E-12</v>
      </c>
      <c r="G58" s="155">
        <f>'Monthly LL'!G91</f>
        <v>-1.0978995490518173E-12</v>
      </c>
      <c r="H58" s="155">
        <f>'Monthly LL'!H91</f>
        <v>1.056932319443149E-12</v>
      </c>
      <c r="I58" s="155">
        <f>'Monthly LL'!I91</f>
        <v>3.1530333899354446E-12</v>
      </c>
      <c r="J58" s="155">
        <f>'Monthly LL'!J91</f>
        <v>2.1964652319184097E-12</v>
      </c>
      <c r="K58" s="155">
        <f>'Monthly LL'!K91</f>
        <v>1.0276224315930449E-12</v>
      </c>
      <c r="L58" s="155">
        <f>'Monthly LL'!L91</f>
        <v>-5.095635872587323E-06</v>
      </c>
      <c r="M58" s="155">
        <f>'Monthly LL'!M91</f>
        <v>2.4296120670896926E-12</v>
      </c>
      <c r="N58" s="155">
        <f>'Monthly LL'!N91</f>
        <v>-7.338417651325813E-10</v>
      </c>
    </row>
    <row r="59" spans="1:14" ht="5.25" customHeight="1">
      <c r="A59" s="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1:14" ht="12.75">
      <c r="A60" s="2" t="s">
        <v>97</v>
      </c>
      <c r="B60" s="155">
        <f>'Monthly LL'!B93</f>
        <v>-0.03039513677811545</v>
      </c>
      <c r="C60" s="155">
        <f>'Monthly LL'!C93</f>
        <v>-0.02987341772151897</v>
      </c>
      <c r="D60" s="155">
        <f>'Monthly LL'!D93</f>
        <v>-0.0299212598425197</v>
      </c>
      <c r="E60" s="155">
        <f>'Monthly LL'!E93</f>
        <v>0</v>
      </c>
      <c r="F60" s="155">
        <f>'Monthly LL'!F93</f>
        <v>0</v>
      </c>
      <c r="G60" s="155">
        <f>'Monthly LL'!G93</f>
        <v>0</v>
      </c>
      <c r="H60" s="155">
        <f>'Monthly LL'!H93</f>
        <v>-0.030000000000000027</v>
      </c>
      <c r="I60" s="155">
        <f>'Monthly LL'!I93</f>
        <v>-0.03001801080648392</v>
      </c>
      <c r="J60" s="155">
        <f>'Monthly LL'!J93</f>
        <v>0</v>
      </c>
      <c r="K60" s="155">
        <f>'Monthly LL'!K93</f>
        <v>-0.030000000000000027</v>
      </c>
      <c r="L60" s="155">
        <f>'Monthly LL'!L93</f>
        <v>-0.030000000000000027</v>
      </c>
      <c r="M60" s="155">
        <f>'Monthly LL'!M93</f>
        <v>-0.030135610246107447</v>
      </c>
      <c r="N60" s="155">
        <f>'Monthly LL'!N93</f>
        <v>-0.03002263156386975</v>
      </c>
    </row>
    <row r="61" spans="1:14" ht="5.25" customHeight="1">
      <c r="A61" s="2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ht="12.75">
      <c r="A62" s="2" t="s">
        <v>283</v>
      </c>
      <c r="B62" s="155">
        <f>'Monthly LL'!B95</f>
        <v>-4.630995202858923E-05</v>
      </c>
      <c r="C62" s="155">
        <f>'Monthly LL'!C95</f>
        <v>-5.0404609421073054E-05</v>
      </c>
      <c r="D62" s="155">
        <f>'Monthly LL'!D95</f>
        <v>-0.00016910112946466604</v>
      </c>
      <c r="E62" s="155">
        <f>'Monthly LL'!E95</f>
        <v>9.65227897609111E-13</v>
      </c>
      <c r="F62" s="155">
        <f>'Monthly LL'!F95</f>
        <v>2.021049994027635E-12</v>
      </c>
      <c r="G62" s="155">
        <f>'Monthly LL'!G95</f>
        <v>-1.0978995490518173E-12</v>
      </c>
      <c r="H62" s="155">
        <f>'Monthly LL'!H95</f>
        <v>-0.00025150526875505896</v>
      </c>
      <c r="I62" s="155">
        <f>'Monthly LL'!I95</f>
        <v>-0.00015683004708610948</v>
      </c>
      <c r="J62" s="155">
        <f>'Monthly LL'!J95</f>
        <v>2.1964652319184097E-12</v>
      </c>
      <c r="K62" s="155">
        <f>'Monthly LL'!K95</f>
        <v>-9.223553070158985E-05</v>
      </c>
      <c r="L62" s="155">
        <f>'Monthly LL'!L95</f>
        <v>-6.289608920051482E-05</v>
      </c>
      <c r="M62" s="155">
        <f>'Monthly LL'!M95</f>
        <v>-0.0001451080227640178</v>
      </c>
      <c r="N62" s="155">
        <f>'Monthly LL'!N95</f>
        <v>-8.26374158883203E-05</v>
      </c>
    </row>
    <row r="63" spans="1:14" ht="12.75">
      <c r="A63" s="2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ht="31.5">
      <c r="A64" s="159" t="s">
        <v>286</v>
      </c>
    </row>
    <row r="65" spans="1:16" ht="12.75">
      <c r="A65" s="11" t="s">
        <v>93</v>
      </c>
      <c r="B65" s="54">
        <f aca="true" t="shared" si="5" ref="B65:M76">+B5*(1+B35)</f>
        <v>548065288.697838</v>
      </c>
      <c r="C65" s="54">
        <f t="shared" si="5"/>
        <v>499244115.84280926</v>
      </c>
      <c r="D65" s="54">
        <f t="shared" si="5"/>
        <v>481364109.53743714</v>
      </c>
      <c r="E65" s="54">
        <f t="shared" si="5"/>
        <v>375605033.9797299</v>
      </c>
      <c r="F65" s="54">
        <f t="shared" si="5"/>
        <v>347975509.50081575</v>
      </c>
      <c r="G65" s="54">
        <f t="shared" si="5"/>
        <v>282636183.2991471</v>
      </c>
      <c r="H65" s="54">
        <f t="shared" si="5"/>
        <v>275671623.2014496</v>
      </c>
      <c r="I65" s="54">
        <f t="shared" si="5"/>
        <v>278616026.9556371</v>
      </c>
      <c r="J65" s="54">
        <f t="shared" si="5"/>
        <v>275780599.478851</v>
      </c>
      <c r="K65" s="54">
        <f t="shared" si="5"/>
        <v>310614415.7933164</v>
      </c>
      <c r="L65" s="54">
        <f t="shared" si="5"/>
        <v>363843454.3286549</v>
      </c>
      <c r="M65" s="54">
        <f>+M5*(1+M35)</f>
        <v>490139364.3511217</v>
      </c>
      <c r="N65" s="54">
        <f>SUM(B65:M65)</f>
        <v>4529555724.966807</v>
      </c>
      <c r="O65" s="58"/>
      <c r="P65" s="58"/>
    </row>
    <row r="66" spans="1:16" ht="12.75">
      <c r="A66" s="11" t="s">
        <v>94</v>
      </c>
      <c r="B66" s="56">
        <f t="shared" si="5"/>
        <v>27444449.264878787</v>
      </c>
      <c r="C66" s="56">
        <f t="shared" si="5"/>
        <v>26440394.46902733</v>
      </c>
      <c r="D66" s="56">
        <f t="shared" si="5"/>
        <v>26388378.414950836</v>
      </c>
      <c r="E66" s="56">
        <f t="shared" si="5"/>
        <v>20990233.505730648</v>
      </c>
      <c r="F66" s="56">
        <f t="shared" si="5"/>
        <v>14844042.949698426</v>
      </c>
      <c r="G66" s="56">
        <f t="shared" si="5"/>
        <v>9838123.664472314</v>
      </c>
      <c r="H66" s="56">
        <f t="shared" si="5"/>
        <v>7819699.166560596</v>
      </c>
      <c r="I66" s="56">
        <f t="shared" si="5"/>
        <v>8113238.629247402</v>
      </c>
      <c r="J66" s="56">
        <f t="shared" si="5"/>
        <v>8936652.513318554</v>
      </c>
      <c r="K66" s="56">
        <f t="shared" si="5"/>
        <v>12282874.51510962</v>
      </c>
      <c r="L66" s="56">
        <f t="shared" si="5"/>
        <v>18822966.8901559</v>
      </c>
      <c r="M66" s="56">
        <f t="shared" si="5"/>
        <v>33410364.4773095</v>
      </c>
      <c r="N66" s="56">
        <f>SUM(B66:M66)</f>
        <v>215331418.4604599</v>
      </c>
      <c r="O66" s="58"/>
      <c r="P66" s="58"/>
    </row>
    <row r="67" spans="1:16" ht="12.75">
      <c r="A67" s="11" t="s">
        <v>95</v>
      </c>
      <c r="B67" s="54">
        <f>SUM(B65:B66)</f>
        <v>575509737.9627167</v>
      </c>
      <c r="C67" s="54">
        <f aca="true" t="shared" si="6" ref="C67:N67">SUM(C65:C66)</f>
        <v>525684510.3118366</v>
      </c>
      <c r="D67" s="54">
        <f t="shared" si="6"/>
        <v>507752487.952388</v>
      </c>
      <c r="E67" s="54">
        <f t="shared" si="6"/>
        <v>396595267.4854605</v>
      </c>
      <c r="F67" s="54">
        <f t="shared" si="6"/>
        <v>362819552.4505142</v>
      </c>
      <c r="G67" s="54">
        <f t="shared" si="6"/>
        <v>292474306.9636195</v>
      </c>
      <c r="H67" s="54">
        <f t="shared" si="6"/>
        <v>283491322.36801016</v>
      </c>
      <c r="I67" s="54">
        <f t="shared" si="6"/>
        <v>286729265.5848845</v>
      </c>
      <c r="J67" s="54">
        <f t="shared" si="6"/>
        <v>284717251.99216956</v>
      </c>
      <c r="K67" s="54">
        <f t="shared" si="6"/>
        <v>322897290.308426</v>
      </c>
      <c r="L67" s="54">
        <f t="shared" si="6"/>
        <v>382666421.2188108</v>
      </c>
      <c r="M67" s="54">
        <f t="shared" si="6"/>
        <v>523549728.82843125</v>
      </c>
      <c r="N67" s="54">
        <f t="shared" si="6"/>
        <v>4744887143.427267</v>
      </c>
      <c r="O67" s="58"/>
      <c r="P67" s="58"/>
    </row>
    <row r="68" spans="1:16" ht="12.75">
      <c r="A68" s="11" t="s">
        <v>46</v>
      </c>
      <c r="B68" s="54">
        <f t="shared" si="5"/>
        <v>27627683.905713927</v>
      </c>
      <c r="C68" s="54">
        <f t="shared" si="5"/>
        <v>26435787.496606454</v>
      </c>
      <c r="D68" s="54">
        <f t="shared" si="5"/>
        <v>27446466.218349226</v>
      </c>
      <c r="E68" s="54">
        <f t="shared" si="5"/>
        <v>21565890.2193975</v>
      </c>
      <c r="F68" s="54">
        <f t="shared" si="5"/>
        <v>21626270.75341765</v>
      </c>
      <c r="G68" s="54">
        <f t="shared" si="5"/>
        <v>18208170.20332368</v>
      </c>
      <c r="H68" s="54">
        <f t="shared" si="5"/>
        <v>18875202.54412474</v>
      </c>
      <c r="I68" s="54">
        <f t="shared" si="5"/>
        <v>19017589.210236013</v>
      </c>
      <c r="J68" s="54">
        <f t="shared" si="5"/>
        <v>19027987.228919774</v>
      </c>
      <c r="K68" s="54">
        <f t="shared" si="5"/>
        <v>19606915.571821056</v>
      </c>
      <c r="L68" s="54">
        <f t="shared" si="5"/>
        <v>19390088.53960881</v>
      </c>
      <c r="M68" s="54">
        <f t="shared" si="5"/>
        <v>24683550.063170433</v>
      </c>
      <c r="N68" s="54">
        <f>SUM(B68:M68)</f>
        <v>263511601.9546893</v>
      </c>
      <c r="O68" s="58"/>
      <c r="P68" s="58"/>
    </row>
    <row r="69" spans="1:16" ht="12.75">
      <c r="A69" s="11" t="s">
        <v>47</v>
      </c>
      <c r="B69" s="54">
        <f t="shared" si="5"/>
        <v>256651955.69236243</v>
      </c>
      <c r="C69" s="54">
        <f t="shared" si="5"/>
        <v>244441602.83154696</v>
      </c>
      <c r="D69" s="54">
        <f t="shared" si="5"/>
        <v>246232552.38555145</v>
      </c>
      <c r="E69" s="54">
        <f t="shared" si="5"/>
        <v>206843876.30603576</v>
      </c>
      <c r="F69" s="54">
        <f t="shared" si="5"/>
        <v>203218919.9865606</v>
      </c>
      <c r="G69" s="54">
        <f t="shared" si="5"/>
        <v>199501465.63722986</v>
      </c>
      <c r="H69" s="54">
        <f t="shared" si="5"/>
        <v>207002314.52704084</v>
      </c>
      <c r="I69" s="54">
        <f t="shared" si="5"/>
        <v>202962247.83804545</v>
      </c>
      <c r="J69" s="54">
        <f t="shared" si="5"/>
        <v>191871988.6264086</v>
      </c>
      <c r="K69" s="54">
        <f t="shared" si="5"/>
        <v>209573689.2921413</v>
      </c>
      <c r="L69" s="54">
        <f t="shared" si="5"/>
        <v>211745206.68736595</v>
      </c>
      <c r="M69" s="54">
        <f t="shared" si="5"/>
        <v>245571916.01373038</v>
      </c>
      <c r="N69" s="54">
        <f>SUM(B69:M69)</f>
        <v>2625617735.8240194</v>
      </c>
      <c r="O69" s="58"/>
      <c r="P69" s="58"/>
    </row>
    <row r="70" spans="1:16" ht="12.75">
      <c r="A70" s="11" t="s">
        <v>48</v>
      </c>
      <c r="B70" s="54">
        <f t="shared" si="5"/>
        <v>37520593.63265246</v>
      </c>
      <c r="C70" s="54">
        <f t="shared" si="5"/>
        <v>32936244.664069984</v>
      </c>
      <c r="D70" s="54">
        <f t="shared" si="5"/>
        <v>39904580.33762696</v>
      </c>
      <c r="E70" s="54">
        <f t="shared" si="5"/>
        <v>34523445.53487513</v>
      </c>
      <c r="F70" s="54">
        <f t="shared" si="5"/>
        <v>35799064.9081333</v>
      </c>
      <c r="G70" s="54">
        <f t="shared" si="5"/>
        <v>34881156.21946896</v>
      </c>
      <c r="H70" s="54">
        <f t="shared" si="5"/>
        <v>40304279.74130071</v>
      </c>
      <c r="I70" s="54">
        <f t="shared" si="5"/>
        <v>41161223.60773938</v>
      </c>
      <c r="J70" s="54">
        <f t="shared" si="5"/>
        <v>37775975.86994828</v>
      </c>
      <c r="K70" s="54">
        <f t="shared" si="5"/>
        <v>37136172.65116435</v>
      </c>
      <c r="L70" s="54">
        <f t="shared" si="5"/>
        <v>35011397.489273265</v>
      </c>
      <c r="M70" s="54">
        <f>+M10*(1+M40)</f>
        <v>35736327.99170452</v>
      </c>
      <c r="N70" s="54">
        <f>SUM(B70:M70)</f>
        <v>442690462.64795727</v>
      </c>
      <c r="O70" s="58"/>
      <c r="P70" s="58"/>
    </row>
    <row r="71" spans="1:16" ht="12.75">
      <c r="A71" s="11" t="s">
        <v>49</v>
      </c>
      <c r="B71" s="54">
        <f t="shared" si="5"/>
        <v>25290612.280262724</v>
      </c>
      <c r="C71" s="54">
        <f t="shared" si="5"/>
        <v>23561360.401118137</v>
      </c>
      <c r="D71" s="54">
        <f t="shared" si="5"/>
        <v>25430330.89011037</v>
      </c>
      <c r="E71" s="54">
        <f t="shared" si="5"/>
        <v>21451489.036378067</v>
      </c>
      <c r="F71" s="54">
        <f t="shared" si="5"/>
        <v>22244290.203315563</v>
      </c>
      <c r="G71" s="54">
        <f t="shared" si="5"/>
        <v>21413746.746084772</v>
      </c>
      <c r="H71" s="54">
        <f t="shared" si="5"/>
        <v>24355458.58364</v>
      </c>
      <c r="I71" s="54">
        <f t="shared" si="5"/>
        <v>20109414.918458786</v>
      </c>
      <c r="J71" s="54">
        <f t="shared" si="5"/>
        <v>22344723.024583012</v>
      </c>
      <c r="K71" s="54">
        <f t="shared" si="5"/>
        <v>17642095.679896522</v>
      </c>
      <c r="L71" s="54">
        <f t="shared" si="5"/>
        <v>21958067.97885284</v>
      </c>
      <c r="M71" s="54">
        <f t="shared" si="5"/>
        <v>25774136.29080613</v>
      </c>
      <c r="N71" s="54">
        <f>SUM(B71:M71)</f>
        <v>271575726.03350693</v>
      </c>
      <c r="O71" s="58"/>
      <c r="P71" s="58"/>
    </row>
    <row r="72" spans="1:16" ht="12.75">
      <c r="A72" s="11" t="s">
        <v>50</v>
      </c>
      <c r="B72" s="54">
        <f t="shared" si="5"/>
        <v>39373379.96580381</v>
      </c>
      <c r="C72" s="54">
        <f t="shared" si="5"/>
        <v>41014239.333314426</v>
      </c>
      <c r="D72" s="54">
        <f t="shared" si="5"/>
        <v>46077870.906033814</v>
      </c>
      <c r="E72" s="54">
        <f t="shared" si="5"/>
        <v>44588340.172358885</v>
      </c>
      <c r="F72" s="54">
        <f t="shared" si="5"/>
        <v>40801079.83795637</v>
      </c>
      <c r="G72" s="54">
        <f t="shared" si="5"/>
        <v>43800925.240082584</v>
      </c>
      <c r="H72" s="54">
        <f t="shared" si="5"/>
        <v>43554688.1755936</v>
      </c>
      <c r="I72" s="54">
        <f t="shared" si="5"/>
        <v>42508551.306842454</v>
      </c>
      <c r="J72" s="54">
        <f t="shared" si="5"/>
        <v>45254142.59976959</v>
      </c>
      <c r="K72" s="54">
        <f t="shared" si="5"/>
        <v>44251819.47710088</v>
      </c>
      <c r="L72" s="54">
        <f>+L12*(1+L42)</f>
        <v>43411330.36568276</v>
      </c>
      <c r="M72" s="54">
        <f t="shared" si="5"/>
        <v>44783967.191335365</v>
      </c>
      <c r="N72" s="54">
        <f aca="true" t="shared" si="7" ref="N72:N86">SUM(B72:M72)</f>
        <v>519420334.5718746</v>
      </c>
      <c r="O72" s="58"/>
      <c r="P72" s="58"/>
    </row>
    <row r="73" spans="1:16" ht="12.75">
      <c r="A73" s="11" t="s">
        <v>51</v>
      </c>
      <c r="B73" s="54">
        <f t="shared" si="5"/>
        <v>80678876.44437195</v>
      </c>
      <c r="C73" s="54">
        <f t="shared" si="5"/>
        <v>76051002.66947277</v>
      </c>
      <c r="D73" s="54">
        <f t="shared" si="5"/>
        <v>81325651.75203492</v>
      </c>
      <c r="E73" s="54">
        <f t="shared" si="5"/>
        <v>79029749.62850322</v>
      </c>
      <c r="F73" s="54">
        <f t="shared" si="5"/>
        <v>80873154.67982903</v>
      </c>
      <c r="G73" s="54">
        <f t="shared" si="5"/>
        <v>80893180.29678458</v>
      </c>
      <c r="H73" s="54">
        <f t="shared" si="5"/>
        <v>80373686.39926496</v>
      </c>
      <c r="I73" s="54">
        <f t="shared" si="5"/>
        <v>83562219.08397895</v>
      </c>
      <c r="J73" s="54">
        <f t="shared" si="5"/>
        <v>84386986.03800023</v>
      </c>
      <c r="K73" s="54">
        <f t="shared" si="5"/>
        <v>81447511.85067704</v>
      </c>
      <c r="L73" s="54">
        <f t="shared" si="5"/>
        <v>82778319.98608287</v>
      </c>
      <c r="M73" s="54">
        <f t="shared" si="5"/>
        <v>79248820.13422322</v>
      </c>
      <c r="N73" s="54">
        <f t="shared" si="7"/>
        <v>970649158.9632237</v>
      </c>
      <c r="O73" s="58"/>
      <c r="P73" s="58"/>
    </row>
    <row r="74" spans="1:16" ht="12.75">
      <c r="A74" s="11" t="s">
        <v>55</v>
      </c>
      <c r="B74" s="54">
        <f t="shared" si="5"/>
        <v>164550226.44479975</v>
      </c>
      <c r="C74" s="54">
        <f t="shared" si="5"/>
        <v>148626010.98239973</v>
      </c>
      <c r="D74" s="54">
        <f t="shared" si="5"/>
        <v>163116821.58559972</v>
      </c>
      <c r="E74" s="54">
        <f t="shared" si="5"/>
        <v>159242154.62400004</v>
      </c>
      <c r="F74" s="54">
        <f t="shared" si="5"/>
        <v>164550226.44479975</v>
      </c>
      <c r="G74" s="54">
        <f t="shared" si="5"/>
        <v>159242154.62400004</v>
      </c>
      <c r="H74" s="54">
        <f t="shared" si="5"/>
        <v>164550226.44479975</v>
      </c>
      <c r="I74" s="54">
        <f t="shared" si="5"/>
        <v>164550226.44479975</v>
      </c>
      <c r="J74" s="54">
        <f t="shared" si="5"/>
        <v>90684539.824</v>
      </c>
      <c r="K74" s="54">
        <f t="shared" si="5"/>
        <v>30279227.151999954</v>
      </c>
      <c r="L74" s="54">
        <f t="shared" si="5"/>
        <v>38385978.62400001</v>
      </c>
      <c r="M74" s="54">
        <f>+M14*(1+M44)</f>
        <v>39665511.24479994</v>
      </c>
      <c r="N74" s="54">
        <f t="shared" si="7"/>
        <v>1487443304.4399984</v>
      </c>
      <c r="O74" s="58"/>
      <c r="P74" s="58"/>
    </row>
    <row r="75" spans="1:16" ht="12.75">
      <c r="A75" s="11" t="s">
        <v>52</v>
      </c>
      <c r="B75" s="54">
        <f t="shared" si="5"/>
        <v>21339988.491937034</v>
      </c>
      <c r="C75" s="54">
        <f t="shared" si="5"/>
        <v>20211613.451842237</v>
      </c>
      <c r="D75" s="54">
        <f t="shared" si="5"/>
        <v>20401949.349915314</v>
      </c>
      <c r="E75" s="54">
        <f t="shared" si="5"/>
        <v>16542337.828972299</v>
      </c>
      <c r="F75" s="54">
        <f t="shared" si="5"/>
        <v>14871452.147046221</v>
      </c>
      <c r="G75" s="54">
        <f t="shared" si="5"/>
        <v>13235929.943458823</v>
      </c>
      <c r="H75" s="54">
        <f t="shared" si="5"/>
        <v>14233011.794395274</v>
      </c>
      <c r="I75" s="54">
        <f t="shared" si="5"/>
        <v>14279000.723236758</v>
      </c>
      <c r="J75" s="54">
        <f>+J15*(1+J45)</f>
        <v>13824541.113539984</v>
      </c>
      <c r="K75" s="54">
        <f>+K15*(1+K45)</f>
        <v>16005738.254295532</v>
      </c>
      <c r="L75" s="54">
        <f t="shared" si="5"/>
        <v>17430118.7256736</v>
      </c>
      <c r="M75" s="54">
        <f t="shared" si="5"/>
        <v>20958562.439737916</v>
      </c>
      <c r="N75" s="54">
        <f t="shared" si="7"/>
        <v>203334244.26405102</v>
      </c>
      <c r="O75" s="58"/>
      <c r="P75" s="58"/>
    </row>
    <row r="76" spans="1:16" ht="12.75">
      <c r="A76" s="11" t="s">
        <v>53</v>
      </c>
      <c r="B76" s="56">
        <f t="shared" si="5"/>
        <v>9907836.05689249</v>
      </c>
      <c r="C76" s="56">
        <f t="shared" si="5"/>
        <v>10039291.295297936</v>
      </c>
      <c r="D76" s="56">
        <f t="shared" si="5"/>
        <v>11210699.272503288</v>
      </c>
      <c r="E76" s="56">
        <f t="shared" si="5"/>
        <v>10216224.02932781</v>
      </c>
      <c r="F76" s="56">
        <f t="shared" si="5"/>
        <v>11114262.986357568</v>
      </c>
      <c r="G76" s="56">
        <f t="shared" si="5"/>
        <v>9762928.27918915</v>
      </c>
      <c r="H76" s="56">
        <f t="shared" si="5"/>
        <v>10199217.312158076</v>
      </c>
      <c r="I76" s="56">
        <f t="shared" si="5"/>
        <v>10479567.589739533</v>
      </c>
      <c r="J76" s="56">
        <f t="shared" si="5"/>
        <v>10635380.536686147</v>
      </c>
      <c r="K76" s="56">
        <f t="shared" si="5"/>
        <v>10149786.677026788</v>
      </c>
      <c r="L76" s="56">
        <f t="shared" si="5"/>
        <v>10918213.02990991</v>
      </c>
      <c r="M76" s="56">
        <f t="shared" si="5"/>
        <v>11432847.615227278</v>
      </c>
      <c r="N76" s="54">
        <f t="shared" si="7"/>
        <v>126066254.68031599</v>
      </c>
      <c r="O76" s="58"/>
      <c r="P76" s="58"/>
    </row>
    <row r="77" spans="1:16" ht="12.75">
      <c r="A77" s="11" t="s">
        <v>44</v>
      </c>
      <c r="B77" s="58">
        <f aca="true" t="shared" si="8" ref="B77:M77">SUM(B67:B76)</f>
        <v>1238450890.877513</v>
      </c>
      <c r="C77" s="58">
        <f t="shared" si="8"/>
        <v>1149001663.4375055</v>
      </c>
      <c r="D77" s="58">
        <f t="shared" si="8"/>
        <v>1168899410.650113</v>
      </c>
      <c r="E77" s="58">
        <f t="shared" si="8"/>
        <v>990598774.8653092</v>
      </c>
      <c r="F77" s="58">
        <f t="shared" si="8"/>
        <v>957918274.3979304</v>
      </c>
      <c r="G77" s="58">
        <f t="shared" si="8"/>
        <v>873413964.1532419</v>
      </c>
      <c r="H77" s="58">
        <f t="shared" si="8"/>
        <v>886939407.8903282</v>
      </c>
      <c r="I77" s="58">
        <f t="shared" si="8"/>
        <v>885359306.3079616</v>
      </c>
      <c r="J77" s="58">
        <f t="shared" si="8"/>
        <v>800523516.8540251</v>
      </c>
      <c r="K77" s="58">
        <f t="shared" si="8"/>
        <v>788990246.9145492</v>
      </c>
      <c r="L77" s="58">
        <f t="shared" si="8"/>
        <v>863695142.6452608</v>
      </c>
      <c r="M77" s="58">
        <f t="shared" si="8"/>
        <v>1051405367.8131664</v>
      </c>
      <c r="N77" s="54">
        <f t="shared" si="7"/>
        <v>11655195966.806902</v>
      </c>
      <c r="O77" s="58"/>
      <c r="P77" s="58"/>
    </row>
    <row r="78" spans="14:16" ht="12.75">
      <c r="N78" s="54"/>
      <c r="O78" s="58"/>
      <c r="P78" s="58"/>
    </row>
    <row r="79" spans="1:16" ht="12.75">
      <c r="A79" s="2" t="s">
        <v>96</v>
      </c>
      <c r="N79" s="54"/>
      <c r="O79" s="58"/>
      <c r="P79" s="58"/>
    </row>
    <row r="80" spans="1:16" ht="12.75">
      <c r="A80" s="323" t="s">
        <v>74</v>
      </c>
      <c r="N80" s="54"/>
      <c r="O80" s="58"/>
      <c r="P80" s="58"/>
    </row>
    <row r="81" spans="1:16" ht="12.75">
      <c r="A81" s="323" t="s">
        <v>162</v>
      </c>
      <c r="B81" s="54">
        <f aca="true" t="shared" si="9" ref="B81:M85">+B21*(1+B51)</f>
        <v>15814159.2</v>
      </c>
      <c r="C81" s="54">
        <f t="shared" si="9"/>
        <v>12728469.6</v>
      </c>
      <c r="D81" s="54">
        <f t="shared" si="9"/>
        <v>15771302.399999997</v>
      </c>
      <c r="E81" s="54">
        <f t="shared" si="9"/>
        <v>14785596</v>
      </c>
      <c r="F81" s="54">
        <f t="shared" si="9"/>
        <v>15814159.2</v>
      </c>
      <c r="G81" s="54">
        <f t="shared" si="9"/>
        <v>14785596</v>
      </c>
      <c r="H81" s="54">
        <f t="shared" si="9"/>
        <v>15814159.2</v>
      </c>
      <c r="I81" s="54">
        <f t="shared" si="9"/>
        <v>15814159.2</v>
      </c>
      <c r="J81" s="54">
        <f t="shared" si="9"/>
        <v>14785596</v>
      </c>
      <c r="K81" s="54">
        <f t="shared" si="9"/>
        <v>15814159.2</v>
      </c>
      <c r="L81" s="54">
        <f t="shared" si="9"/>
        <v>14785596</v>
      </c>
      <c r="M81" s="54">
        <f t="shared" si="9"/>
        <v>15814159.2</v>
      </c>
      <c r="N81" s="54">
        <f>SUM(B81:M81)</f>
        <v>182527111.2</v>
      </c>
      <c r="O81" s="58"/>
      <c r="P81" s="58"/>
    </row>
    <row r="82" spans="1:16" ht="12.75">
      <c r="A82" s="324" t="s">
        <v>163</v>
      </c>
      <c r="B82" s="54">
        <f t="shared" si="9"/>
        <v>0</v>
      </c>
      <c r="C82" s="54">
        <f t="shared" si="9"/>
        <v>0</v>
      </c>
      <c r="D82" s="54">
        <f t="shared" si="9"/>
        <v>0</v>
      </c>
      <c r="E82" s="54">
        <f t="shared" si="9"/>
        <v>0</v>
      </c>
      <c r="F82" s="54">
        <f t="shared" si="9"/>
        <v>0</v>
      </c>
      <c r="G82" s="54">
        <f t="shared" si="9"/>
        <v>0</v>
      </c>
      <c r="H82" s="54">
        <f t="shared" si="9"/>
        <v>0</v>
      </c>
      <c r="I82" s="54">
        <f t="shared" si="9"/>
        <v>0</v>
      </c>
      <c r="J82" s="54">
        <f t="shared" si="9"/>
        <v>0</v>
      </c>
      <c r="K82" s="54">
        <f t="shared" si="9"/>
        <v>0</v>
      </c>
      <c r="L82" s="54">
        <f t="shared" si="9"/>
        <v>0</v>
      </c>
      <c r="M82" s="54">
        <f t="shared" si="9"/>
        <v>0</v>
      </c>
      <c r="N82" s="54">
        <f>SUM(B82:M82)</f>
        <v>0</v>
      </c>
      <c r="O82" s="58"/>
      <c r="P82" s="58"/>
    </row>
    <row r="83" spans="1:16" ht="12.75">
      <c r="A83" s="1" t="s">
        <v>31</v>
      </c>
      <c r="B83" s="54">
        <f t="shared" si="9"/>
        <v>-463658.90216546017</v>
      </c>
      <c r="C83" s="54">
        <f t="shared" si="9"/>
        <v>-217040.10042608468</v>
      </c>
      <c r="D83" s="54">
        <f t="shared" si="9"/>
        <v>-209137.10237257922</v>
      </c>
      <c r="E83" s="54">
        <f t="shared" si="9"/>
        <v>99012.47318875625</v>
      </c>
      <c r="F83" s="54">
        <f t="shared" si="9"/>
        <v>1848236.5709018493</v>
      </c>
      <c r="G83" s="54">
        <f t="shared" si="9"/>
        <v>-61096.592848286215</v>
      </c>
      <c r="H83" s="54">
        <f t="shared" si="9"/>
        <v>2049240.7485767743</v>
      </c>
      <c r="I83" s="54">
        <f t="shared" si="9"/>
        <v>1531375.2898629252</v>
      </c>
      <c r="J83" s="54">
        <f t="shared" si="9"/>
        <v>601862.5319570906</v>
      </c>
      <c r="K83" s="54">
        <f t="shared" si="9"/>
        <v>2795712.735851272</v>
      </c>
      <c r="L83" s="54">
        <f t="shared" si="9"/>
        <v>1336659.1129184566</v>
      </c>
      <c r="M83" s="54">
        <f t="shared" si="9"/>
        <v>204429.99722624553</v>
      </c>
      <c r="N83" s="54">
        <f t="shared" si="7"/>
        <v>9515596.76267096</v>
      </c>
      <c r="O83" s="58"/>
      <c r="P83" s="58"/>
    </row>
    <row r="84" spans="1:16" ht="12.75">
      <c r="A84" s="1" t="s">
        <v>282</v>
      </c>
      <c r="B84" s="54">
        <f t="shared" si="9"/>
        <v>16071300</v>
      </c>
      <c r="C84" s="54">
        <f t="shared" si="9"/>
        <v>16071300</v>
      </c>
      <c r="D84" s="54">
        <f t="shared" si="9"/>
        <v>16071300</v>
      </c>
      <c r="E84" s="54">
        <f t="shared" si="9"/>
        <v>16071300</v>
      </c>
      <c r="F84" s="54">
        <f t="shared" si="9"/>
        <v>16071300</v>
      </c>
      <c r="G84" s="54">
        <f t="shared" si="9"/>
        <v>16071300</v>
      </c>
      <c r="H84" s="54">
        <f t="shared" si="9"/>
        <v>16071300</v>
      </c>
      <c r="I84" s="54">
        <f t="shared" si="9"/>
        <v>16071300.000000004</v>
      </c>
      <c r="J84" s="54">
        <f t="shared" si="9"/>
        <v>16071300</v>
      </c>
      <c r="K84" s="54">
        <f t="shared" si="9"/>
        <v>16071300</v>
      </c>
      <c r="L84" s="54">
        <f t="shared" si="9"/>
        <v>16071300</v>
      </c>
      <c r="M84" s="54">
        <f t="shared" si="9"/>
        <v>16071300</v>
      </c>
      <c r="N84" s="54">
        <f t="shared" si="7"/>
        <v>192855600</v>
      </c>
      <c r="O84" s="58"/>
      <c r="P84" s="58"/>
    </row>
    <row r="85" spans="1:16" ht="12.75">
      <c r="A85" s="326" t="s">
        <v>134</v>
      </c>
      <c r="B85" s="56">
        <f t="shared" si="9"/>
        <v>-1567168</v>
      </c>
      <c r="C85" s="56">
        <f t="shared" si="9"/>
        <v>4854744</v>
      </c>
      <c r="D85" s="56">
        <f t="shared" si="9"/>
        <v>9607607</v>
      </c>
      <c r="E85" s="56">
        <f t="shared" si="9"/>
        <v>13092491</v>
      </c>
      <c r="F85" s="56">
        <f t="shared" si="9"/>
        <v>17115020</v>
      </c>
      <c r="G85" s="56">
        <f t="shared" si="9"/>
        <v>463755</v>
      </c>
      <c r="H85" s="56">
        <f t="shared" si="9"/>
        <v>17657977</v>
      </c>
      <c r="I85" s="56">
        <f t="shared" si="9"/>
        <v>2305537</v>
      </c>
      <c r="J85" s="56">
        <f t="shared" si="9"/>
        <v>-3013726</v>
      </c>
      <c r="K85" s="56">
        <f t="shared" si="9"/>
        <v>-3944733</v>
      </c>
      <c r="L85" s="56">
        <f t="shared" si="9"/>
        <v>0</v>
      </c>
      <c r="M85" s="56">
        <f t="shared" si="9"/>
        <v>0</v>
      </c>
      <c r="N85" s="56">
        <f t="shared" si="7"/>
        <v>56571504</v>
      </c>
      <c r="O85" s="58"/>
      <c r="P85" s="58"/>
    </row>
    <row r="86" spans="1:16" ht="12.75">
      <c r="A86" s="1" t="s">
        <v>44</v>
      </c>
      <c r="B86" s="54">
        <f>SUM(B81:B85)</f>
        <v>29854632.297834538</v>
      </c>
      <c r="C86" s="54">
        <f aca="true" t="shared" si="10" ref="C86:L86">SUM(C81:C85)</f>
        <v>33437473.499573916</v>
      </c>
      <c r="D86" s="54">
        <f t="shared" si="10"/>
        <v>41241072.29762742</v>
      </c>
      <c r="E86" s="54">
        <f t="shared" si="10"/>
        <v>44048399.47318876</v>
      </c>
      <c r="F86" s="54">
        <f t="shared" si="10"/>
        <v>50848715.770901844</v>
      </c>
      <c r="G86" s="54">
        <f t="shared" si="10"/>
        <v>31259554.407151714</v>
      </c>
      <c r="H86" s="54">
        <f t="shared" si="10"/>
        <v>51592676.94857678</v>
      </c>
      <c r="I86" s="54">
        <f t="shared" si="10"/>
        <v>35722371.489862934</v>
      </c>
      <c r="J86" s="54">
        <f t="shared" si="10"/>
        <v>28445032.53195709</v>
      </c>
      <c r="K86" s="54">
        <f t="shared" si="10"/>
        <v>30736438.935851276</v>
      </c>
      <c r="L86" s="54">
        <f t="shared" si="10"/>
        <v>32193555.11291846</v>
      </c>
      <c r="M86" s="54">
        <f>SUM(M81:M85)</f>
        <v>32089889.197226245</v>
      </c>
      <c r="N86" s="54">
        <f t="shared" si="7"/>
        <v>441469811.9626709</v>
      </c>
      <c r="O86" s="58"/>
      <c r="P86" s="58"/>
    </row>
    <row r="87" spans="1:16" ht="12.75">
      <c r="A87" s="1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8"/>
      <c r="P87" s="58"/>
    </row>
    <row r="88" spans="1:16" ht="12.75">
      <c r="A88" s="2" t="s">
        <v>136</v>
      </c>
      <c r="B88" s="54">
        <f aca="true" t="shared" si="11" ref="B88:L88">+B77+B86</f>
        <v>1268305523.1753476</v>
      </c>
      <c r="C88" s="54">
        <f t="shared" si="11"/>
        <v>1182439136.9370794</v>
      </c>
      <c r="D88" s="54">
        <f t="shared" si="11"/>
        <v>1210140482.9477406</v>
      </c>
      <c r="E88" s="54">
        <f t="shared" si="11"/>
        <v>1034647174.338498</v>
      </c>
      <c r="F88" s="54">
        <f>+F77+F86</f>
        <v>1008766990.1688322</v>
      </c>
      <c r="G88" s="54">
        <f t="shared" si="11"/>
        <v>904673518.5603936</v>
      </c>
      <c r="H88" s="54">
        <f t="shared" si="11"/>
        <v>938532084.838905</v>
      </c>
      <c r="I88" s="54">
        <f>+I77+I86</f>
        <v>921081677.7978245</v>
      </c>
      <c r="J88" s="54">
        <f t="shared" si="11"/>
        <v>828968549.3859823</v>
      </c>
      <c r="K88" s="54">
        <f t="shared" si="11"/>
        <v>819726685.8504004</v>
      </c>
      <c r="L88" s="54">
        <f t="shared" si="11"/>
        <v>895888697.7581793</v>
      </c>
      <c r="M88" s="54">
        <f>+M77+M86</f>
        <v>1083495257.0103927</v>
      </c>
      <c r="N88" s="54">
        <f>SUM(B88:M88)</f>
        <v>12096665778.769575</v>
      </c>
      <c r="O88" s="58"/>
      <c r="P88" s="58"/>
    </row>
    <row r="89" spans="1:16" ht="12.75">
      <c r="A89" s="1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8"/>
      <c r="P89" s="58"/>
    </row>
    <row r="90" spans="1:16" ht="12.75">
      <c r="A90" s="2" t="s">
        <v>97</v>
      </c>
      <c r="B90" s="54">
        <f>'Data Inputs - 2011'!C48</f>
        <v>208000</v>
      </c>
      <c r="C90" s="54">
        <f>'Data Inputs - 2011'!D48</f>
        <v>62000</v>
      </c>
      <c r="D90" s="54">
        <f>'Data Inputs - 2011'!E48</f>
        <v>361000</v>
      </c>
      <c r="E90" s="54">
        <f>'Data Inputs - 2011'!F48</f>
        <v>52000</v>
      </c>
      <c r="F90" s="54">
        <f>'Data Inputs - 2011'!G48</f>
        <v>180000</v>
      </c>
      <c r="G90" s="54">
        <f>'Data Inputs - 2011'!H48</f>
        <v>0</v>
      </c>
      <c r="H90" s="54">
        <f>'Data Inputs - 2011'!I48</f>
        <v>1102000</v>
      </c>
      <c r="I90" s="54">
        <f>'Data Inputs - 2011'!J48</f>
        <v>1263000</v>
      </c>
      <c r="J90" s="54">
        <f>'Data Inputs - 2011'!K48</f>
        <v>285000</v>
      </c>
      <c r="K90" s="54">
        <f>'Data Inputs - 2011'!L48</f>
        <v>996000</v>
      </c>
      <c r="L90" s="54">
        <f>'Data Inputs - 2011'!M48</f>
        <v>21981000</v>
      </c>
      <c r="M90" s="54">
        <f>'Data Inputs - 2011'!N48</f>
        <v>-4000</v>
      </c>
      <c r="N90" s="54">
        <f>SUM(B90:M90)</f>
        <v>26486000</v>
      </c>
      <c r="O90" s="58"/>
      <c r="P90" s="58"/>
    </row>
    <row r="91" spans="2:16" ht="12.7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 ht="12.75">
      <c r="A92" s="20" t="s">
        <v>283</v>
      </c>
      <c r="B92" s="58">
        <f>B88+B90</f>
        <v>1268513523.1753476</v>
      </c>
      <c r="C92" s="58">
        <f aca="true" t="shared" si="12" ref="C92:M92">C88+C90</f>
        <v>1182501136.9370794</v>
      </c>
      <c r="D92" s="58">
        <f t="shared" si="12"/>
        <v>1210501482.9477406</v>
      </c>
      <c r="E92" s="58">
        <f t="shared" si="12"/>
        <v>1034699174.338498</v>
      </c>
      <c r="F92" s="58">
        <f t="shared" si="12"/>
        <v>1008946990.1688322</v>
      </c>
      <c r="G92" s="58">
        <f t="shared" si="12"/>
        <v>904673518.5603936</v>
      </c>
      <c r="H92" s="58">
        <f t="shared" si="12"/>
        <v>939634084.838905</v>
      </c>
      <c r="I92" s="58">
        <f>I88+I90</f>
        <v>922344677.7978245</v>
      </c>
      <c r="J92" s="58">
        <f t="shared" si="12"/>
        <v>829253549.3859823</v>
      </c>
      <c r="K92" s="58">
        <f t="shared" si="12"/>
        <v>820722685.8504004</v>
      </c>
      <c r="L92" s="58">
        <f t="shared" si="12"/>
        <v>917869697.7581793</v>
      </c>
      <c r="M92" s="58">
        <f t="shared" si="12"/>
        <v>1083491257.0103927</v>
      </c>
      <c r="N92" s="54">
        <f>SUM(B92:M92)</f>
        <v>12123151778.769575</v>
      </c>
      <c r="O92" s="58"/>
      <c r="P92" s="58"/>
    </row>
    <row r="93" ht="12.75">
      <c r="A93" s="1"/>
    </row>
    <row r="94" ht="12.75">
      <c r="A94" s="1"/>
    </row>
    <row r="95" ht="31.5">
      <c r="A95" s="159" t="s">
        <v>292</v>
      </c>
    </row>
    <row r="96" ht="15.75">
      <c r="A96" s="159" t="s">
        <v>98</v>
      </c>
    </row>
    <row r="97" spans="1:18" ht="12.75">
      <c r="A97" s="11" t="s">
        <v>93</v>
      </c>
      <c r="B97" s="54">
        <f>B65*B$130</f>
        <v>538213044.917242</v>
      </c>
      <c r="C97" s="54">
        <f aca="true" t="shared" si="13" ref="C97:M97">C65*C$130</f>
        <v>488213939.36172175</v>
      </c>
      <c r="D97" s="54">
        <f t="shared" si="13"/>
        <v>471150797.86782193</v>
      </c>
      <c r="E97" s="54">
        <f t="shared" si="13"/>
        <v>374015121.1592597</v>
      </c>
      <c r="F97" s="54">
        <f t="shared" si="13"/>
        <v>334215688.1026254</v>
      </c>
      <c r="G97" s="54">
        <f t="shared" si="13"/>
        <v>279499095.52371097</v>
      </c>
      <c r="H97" s="54">
        <f t="shared" si="13"/>
        <v>276104569.7511394</v>
      </c>
      <c r="I97" s="54">
        <f t="shared" si="13"/>
        <v>281564778.8138778</v>
      </c>
      <c r="J97" s="54">
        <f t="shared" si="13"/>
        <v>274503467.1630497</v>
      </c>
      <c r="K97" s="54">
        <f t="shared" si="13"/>
        <v>317426292.9721503</v>
      </c>
      <c r="L97" s="54">
        <f t="shared" si="13"/>
        <v>366944565.00961584</v>
      </c>
      <c r="M97" s="54">
        <f t="shared" si="13"/>
        <v>490163179.77981365</v>
      </c>
      <c r="N97" s="54">
        <f>SUM(B97:M97)</f>
        <v>4492014540.422029</v>
      </c>
      <c r="O97" s="58"/>
      <c r="P97" s="58"/>
      <c r="R97" s="9"/>
    </row>
    <row r="98" spans="1:16" ht="12.75">
      <c r="A98" s="11" t="s">
        <v>94</v>
      </c>
      <c r="B98" s="54">
        <f>B66*B$130</f>
        <v>26951096.72065143</v>
      </c>
      <c r="C98" s="54">
        <f aca="true" t="shared" si="14" ref="C98:M98">C66*C$130</f>
        <v>25856226.908573262</v>
      </c>
      <c r="D98" s="54">
        <f t="shared" si="14"/>
        <v>25828484.713140316</v>
      </c>
      <c r="E98" s="54">
        <f t="shared" si="14"/>
        <v>20901383.148743086</v>
      </c>
      <c r="F98" s="54">
        <f t="shared" si="14"/>
        <v>14257072.3893049</v>
      </c>
      <c r="G98" s="54">
        <f t="shared" si="14"/>
        <v>9728926.543563066</v>
      </c>
      <c r="H98" s="54">
        <f t="shared" si="14"/>
        <v>7831980.125095457</v>
      </c>
      <c r="I98" s="54">
        <f t="shared" si="14"/>
        <v>8199105.647544066</v>
      </c>
      <c r="J98" s="54">
        <f t="shared" si="14"/>
        <v>8895267.123115566</v>
      </c>
      <c r="K98" s="54">
        <f t="shared" si="14"/>
        <v>12552242.027838422</v>
      </c>
      <c r="L98" s="54">
        <f t="shared" si="14"/>
        <v>18983398.809367258</v>
      </c>
      <c r="M98" s="54">
        <f t="shared" si="14"/>
        <v>33411987.856720854</v>
      </c>
      <c r="N98" s="56">
        <f aca="true" t="shared" si="15" ref="N98:N109">SUM(B98:M98)</f>
        <v>213397172.0136577</v>
      </c>
      <c r="O98" s="58"/>
      <c r="P98" s="58"/>
    </row>
    <row r="99" spans="1:16" ht="12.75">
      <c r="A99" s="11" t="s">
        <v>95</v>
      </c>
      <c r="B99" s="54">
        <f>SUM(B97:B98)</f>
        <v>565164141.6378934</v>
      </c>
      <c r="C99" s="54">
        <f aca="true" t="shared" si="16" ref="C99:M99">SUM(C97:C98)</f>
        <v>514070166.270295</v>
      </c>
      <c r="D99" s="54">
        <f t="shared" si="16"/>
        <v>496979282.58096224</v>
      </c>
      <c r="E99" s="54">
        <f t="shared" si="16"/>
        <v>394916504.30800277</v>
      </c>
      <c r="F99" s="54">
        <f t="shared" si="16"/>
        <v>348472760.4919303</v>
      </c>
      <c r="G99" s="54">
        <f t="shared" si="16"/>
        <v>289228022.06727403</v>
      </c>
      <c r="H99" s="54">
        <f t="shared" si="16"/>
        <v>283936549.8762349</v>
      </c>
      <c r="I99" s="54">
        <f t="shared" si="16"/>
        <v>289763884.4614219</v>
      </c>
      <c r="J99" s="54">
        <f t="shared" si="16"/>
        <v>283398734.28616524</v>
      </c>
      <c r="K99" s="54">
        <f t="shared" si="16"/>
        <v>329978534.99998873</v>
      </c>
      <c r="L99" s="54">
        <f t="shared" si="16"/>
        <v>385927963.8189831</v>
      </c>
      <c r="M99" s="54">
        <f t="shared" si="16"/>
        <v>523575167.6365345</v>
      </c>
      <c r="N99" s="54">
        <f t="shared" si="15"/>
        <v>4705411712.435686</v>
      </c>
      <c r="O99" s="58"/>
      <c r="P99" s="58"/>
    </row>
    <row r="100" spans="1:16" ht="12.75">
      <c r="A100" s="11" t="s">
        <v>46</v>
      </c>
      <c r="B100" s="54">
        <f aca="true" t="shared" si="17" ref="B100:B108">B68*B$130</f>
        <v>27131037.461311195</v>
      </c>
      <c r="C100" s="54">
        <f aca="true" t="shared" si="18" ref="C100:M100">C68*C$130</f>
        <v>25851721.72146589</v>
      </c>
      <c r="D100" s="54">
        <f t="shared" si="18"/>
        <v>26864122.607424565</v>
      </c>
      <c r="E100" s="54">
        <f t="shared" si="18"/>
        <v>21474603.143233012</v>
      </c>
      <c r="F100" s="54">
        <f t="shared" si="18"/>
        <v>20771113.953725584</v>
      </c>
      <c r="G100" s="54">
        <f t="shared" si="18"/>
        <v>18006070.71453512</v>
      </c>
      <c r="H100" s="54">
        <f t="shared" si="18"/>
        <v>18904846.341775265</v>
      </c>
      <c r="I100" s="54">
        <f t="shared" si="18"/>
        <v>19218863.171880264</v>
      </c>
      <c r="J100" s="54">
        <f t="shared" si="18"/>
        <v>18939869.14722501</v>
      </c>
      <c r="K100" s="54">
        <f t="shared" si="18"/>
        <v>20036901.73453632</v>
      </c>
      <c r="L100" s="54">
        <f t="shared" si="18"/>
        <v>19555354.15029819</v>
      </c>
      <c r="M100" s="54">
        <f t="shared" si="18"/>
        <v>24684749.4145573</v>
      </c>
      <c r="N100" s="54">
        <f t="shared" si="15"/>
        <v>261439253.56196773</v>
      </c>
      <c r="O100" s="58"/>
      <c r="P100" s="58"/>
    </row>
    <row r="101" spans="1:16" ht="12.75">
      <c r="A101" s="11" t="s">
        <v>47</v>
      </c>
      <c r="B101" s="54">
        <f t="shared" si="17"/>
        <v>252038276.10638538</v>
      </c>
      <c r="C101" s="54">
        <f aca="true" t="shared" si="19" ref="C101:M101">C69*C$130</f>
        <v>239040970.28928822</v>
      </c>
      <c r="D101" s="54">
        <f t="shared" si="19"/>
        <v>241008129.22875416</v>
      </c>
      <c r="E101" s="54">
        <f t="shared" si="19"/>
        <v>205968319.00242287</v>
      </c>
      <c r="F101" s="54">
        <f t="shared" si="19"/>
        <v>195183135.9517602</v>
      </c>
      <c r="G101" s="54">
        <f t="shared" si="19"/>
        <v>197287122.08883238</v>
      </c>
      <c r="H101" s="54">
        <f>H69*H$130</f>
        <v>207327414.86494103</v>
      </c>
      <c r="I101" s="54">
        <f t="shared" si="19"/>
        <v>205110312.72865725</v>
      </c>
      <c r="J101" s="54">
        <f t="shared" si="19"/>
        <v>190983434.7628123</v>
      </c>
      <c r="K101" s="54">
        <f t="shared" si="19"/>
        <v>214169709.82044506</v>
      </c>
      <c r="L101" s="54">
        <f t="shared" si="19"/>
        <v>213549953.52089652</v>
      </c>
      <c r="M101" s="54">
        <f t="shared" si="19"/>
        <v>245583848.1311646</v>
      </c>
      <c r="N101" s="54">
        <f t="shared" si="15"/>
        <v>2607250626.4963603</v>
      </c>
      <c r="O101" s="58"/>
      <c r="P101" s="58"/>
    </row>
    <row r="102" spans="1:16" ht="12.75">
      <c r="A102" s="11" t="s">
        <v>48</v>
      </c>
      <c r="B102" s="54">
        <f t="shared" si="17"/>
        <v>36846108.23303912</v>
      </c>
      <c r="C102" s="54">
        <f aca="true" t="shared" si="20" ref="C102:M102">C70*C$130</f>
        <v>32208559.389991853</v>
      </c>
      <c r="D102" s="54">
        <f t="shared" si="20"/>
        <v>39057907.5010812</v>
      </c>
      <c r="E102" s="54">
        <f t="shared" si="20"/>
        <v>34377309.93045811</v>
      </c>
      <c r="F102" s="54">
        <f t="shared" si="20"/>
        <v>34383480.403164044</v>
      </c>
      <c r="G102" s="54">
        <f t="shared" si="20"/>
        <v>34493996.842025205</v>
      </c>
      <c r="H102" s="54">
        <f t="shared" si="20"/>
        <v>40367578.23626034</v>
      </c>
      <c r="I102" s="54">
        <f t="shared" si="20"/>
        <v>41596856.24498214</v>
      </c>
      <c r="J102" s="54">
        <f t="shared" si="20"/>
        <v>37601036.37226204</v>
      </c>
      <c r="K102" s="54">
        <f t="shared" si="20"/>
        <v>37950581.23663074</v>
      </c>
      <c r="L102" s="54">
        <f t="shared" si="20"/>
        <v>35309806.64688664</v>
      </c>
      <c r="M102" s="54">
        <f t="shared" si="20"/>
        <v>35738064.38758068</v>
      </c>
      <c r="N102" s="54">
        <f t="shared" si="15"/>
        <v>439931285.4243622</v>
      </c>
      <c r="O102" s="58"/>
      <c r="P102" s="58"/>
    </row>
    <row r="103" spans="1:16" ht="12.75">
      <c r="A103" s="11" t="s">
        <v>49</v>
      </c>
      <c r="B103" s="54">
        <f t="shared" si="17"/>
        <v>24835977.982699953</v>
      </c>
      <c r="C103" s="54">
        <f aca="true" t="shared" si="21" ref="C103:M103">C71*C$130</f>
        <v>23040801.50996304</v>
      </c>
      <c r="D103" s="54">
        <f t="shared" si="21"/>
        <v>24890764.499313757</v>
      </c>
      <c r="E103" s="54">
        <f t="shared" si="21"/>
        <v>21360686.213328168</v>
      </c>
      <c r="F103" s="54">
        <f t="shared" si="21"/>
        <v>21364695.369856693</v>
      </c>
      <c r="G103" s="54">
        <f t="shared" si="21"/>
        <v>21176067.329531346</v>
      </c>
      <c r="H103" s="54">
        <f t="shared" si="21"/>
        <v>24393709.208196286</v>
      </c>
      <c r="I103" s="54">
        <f t="shared" si="21"/>
        <v>20322244.292478897</v>
      </c>
      <c r="J103" s="54">
        <f t="shared" si="21"/>
        <v>22241245.2313073</v>
      </c>
      <c r="K103" s="54">
        <f t="shared" si="21"/>
        <v>18028992.69058986</v>
      </c>
      <c r="L103" s="54">
        <f t="shared" si="21"/>
        <v>22145220.992964722</v>
      </c>
      <c r="M103" s="54">
        <f t="shared" si="21"/>
        <v>25775388.632792052</v>
      </c>
      <c r="N103" s="54">
        <f t="shared" si="15"/>
        <v>269575793.953022</v>
      </c>
      <c r="O103" s="58"/>
      <c r="P103" s="58"/>
    </row>
    <row r="104" spans="1:16" ht="12.75">
      <c r="A104" s="11" t="s">
        <v>50</v>
      </c>
      <c r="B104" s="54">
        <f t="shared" si="17"/>
        <v>38665588.12806348</v>
      </c>
      <c r="C104" s="54">
        <f aca="true" t="shared" si="22" ref="C104:M104">C72*C$130</f>
        <v>40108080.83544149</v>
      </c>
      <c r="D104" s="54">
        <f t="shared" si="22"/>
        <v>45100216.67857625</v>
      </c>
      <c r="E104" s="54">
        <f t="shared" si="22"/>
        <v>44399600.492987745</v>
      </c>
      <c r="F104" s="54">
        <f t="shared" si="22"/>
        <v>39187703.1603018</v>
      </c>
      <c r="G104" s="54">
        <f t="shared" si="22"/>
        <v>43314761.913365066</v>
      </c>
      <c r="H104" s="54">
        <f t="shared" si="22"/>
        <v>43623091.48729268</v>
      </c>
      <c r="I104" s="54">
        <f t="shared" si="22"/>
        <v>42958443.479330905</v>
      </c>
      <c r="J104" s="54">
        <f t="shared" si="22"/>
        <v>45044571.919137</v>
      </c>
      <c r="K104" s="54">
        <f t="shared" si="22"/>
        <v>45222276.557941966</v>
      </c>
      <c r="L104" s="54">
        <f t="shared" si="22"/>
        <v>43781333.83467505</v>
      </c>
      <c r="M104" s="54">
        <f t="shared" si="22"/>
        <v>44786143.203822345</v>
      </c>
      <c r="N104" s="54">
        <f t="shared" si="15"/>
        <v>516191811.69093585</v>
      </c>
      <c r="O104" s="58"/>
      <c r="P104" s="58"/>
    </row>
    <row r="105" spans="1:16" ht="12.75">
      <c r="A105" s="11" t="s">
        <v>51</v>
      </c>
      <c r="B105" s="54">
        <f t="shared" si="17"/>
        <v>79228560.25930016</v>
      </c>
      <c r="C105" s="54">
        <f aca="true" t="shared" si="23" ref="C105:M105">C73*C$130</f>
        <v>74370750.55555089</v>
      </c>
      <c r="D105" s="54">
        <f t="shared" si="23"/>
        <v>79600130.0282066</v>
      </c>
      <c r="E105" s="54">
        <f t="shared" si="23"/>
        <v>78695221.5983499</v>
      </c>
      <c r="F105" s="54">
        <f t="shared" si="23"/>
        <v>77675228.00418735</v>
      </c>
      <c r="G105" s="54">
        <f t="shared" si="23"/>
        <v>79995315.75565255</v>
      </c>
      <c r="H105" s="54">
        <f t="shared" si="23"/>
        <v>80499914.51737265</v>
      </c>
      <c r="I105" s="54">
        <f t="shared" si="23"/>
        <v>84446605.56918941</v>
      </c>
      <c r="J105" s="54">
        <f t="shared" si="23"/>
        <v>83996192.24356413</v>
      </c>
      <c r="K105" s="54">
        <f t="shared" si="23"/>
        <v>83233682.80424155</v>
      </c>
      <c r="L105" s="54">
        <f t="shared" si="23"/>
        <v>83483856.1973485</v>
      </c>
      <c r="M105" s="54">
        <f t="shared" si="23"/>
        <v>79252670.76276298</v>
      </c>
      <c r="N105" s="54">
        <f t="shared" si="15"/>
        <v>964478128.2957267</v>
      </c>
      <c r="O105" s="58"/>
      <c r="P105" s="58"/>
    </row>
    <row r="106" spans="1:16" ht="12.75">
      <c r="A106" s="11" t="s">
        <v>55</v>
      </c>
      <c r="B106" s="54">
        <f t="shared" si="17"/>
        <v>161592204.87598586</v>
      </c>
      <c r="C106" s="54">
        <f aca="true" t="shared" si="24" ref="C106:M106">C74*C$130</f>
        <v>145342304.51738033</v>
      </c>
      <c r="D106" s="54">
        <f t="shared" si="24"/>
        <v>159655901.03834155</v>
      </c>
      <c r="E106" s="54">
        <f t="shared" si="24"/>
        <v>158568092.45685226</v>
      </c>
      <c r="F106" s="54">
        <f t="shared" si="24"/>
        <v>158043499.2036779</v>
      </c>
      <c r="G106" s="54">
        <f t="shared" si="24"/>
        <v>157474664.66297007</v>
      </c>
      <c r="H106" s="54">
        <f t="shared" si="24"/>
        <v>164808655.12150797</v>
      </c>
      <c r="I106" s="54">
        <f t="shared" si="24"/>
        <v>166291755.06863692</v>
      </c>
      <c r="J106" s="54">
        <f t="shared" si="24"/>
        <v>90264582.232452</v>
      </c>
      <c r="K106" s="54">
        <f t="shared" si="24"/>
        <v>30943260.648007046</v>
      </c>
      <c r="L106" s="54">
        <f t="shared" si="24"/>
        <v>38713150.012941636</v>
      </c>
      <c r="M106" s="54">
        <f t="shared" si="24"/>
        <v>39667438.556138895</v>
      </c>
      <c r="N106" s="54">
        <f t="shared" si="15"/>
        <v>1471365508.3948925</v>
      </c>
      <c r="O106" s="58"/>
      <c r="P106" s="58"/>
    </row>
    <row r="107" spans="1:16" ht="12.75">
      <c r="A107" s="11" t="s">
        <v>52</v>
      </c>
      <c r="B107" s="54">
        <f t="shared" si="17"/>
        <v>20956372.20892593</v>
      </c>
      <c r="C107" s="54">
        <f aca="true" t="shared" si="25" ref="C107:M107">C75*C$130</f>
        <v>19765063.04440281</v>
      </c>
      <c r="D107" s="54">
        <f t="shared" si="25"/>
        <v>19969072.317228723</v>
      </c>
      <c r="E107" s="54">
        <f t="shared" si="25"/>
        <v>16472315.138604812</v>
      </c>
      <c r="F107" s="54">
        <f t="shared" si="25"/>
        <v>14283397.758481242</v>
      </c>
      <c r="G107" s="54">
        <f t="shared" si="25"/>
        <v>13089019.262959694</v>
      </c>
      <c r="H107" s="54">
        <f t="shared" si="25"/>
        <v>14255364.959644984</v>
      </c>
      <c r="I107" s="54">
        <f t="shared" si="25"/>
        <v>14430123.508155262</v>
      </c>
      <c r="J107" s="54">
        <f t="shared" si="25"/>
        <v>13760520.046646265</v>
      </c>
      <c r="K107" s="54">
        <f>K75*K$130</f>
        <v>16356749.40381466</v>
      </c>
      <c r="L107" s="54">
        <f t="shared" si="25"/>
        <v>17578679.12083129</v>
      </c>
      <c r="M107" s="54">
        <f t="shared" si="25"/>
        <v>20959580.797343064</v>
      </c>
      <c r="N107" s="54">
        <f t="shared" si="15"/>
        <v>201876257.5670387</v>
      </c>
      <c r="O107" s="58"/>
      <c r="P107" s="58"/>
    </row>
    <row r="108" spans="1:16" ht="12.75">
      <c r="A108" s="11" t="s">
        <v>53</v>
      </c>
      <c r="B108" s="54">
        <f t="shared" si="17"/>
        <v>9729728.779924436</v>
      </c>
      <c r="C108" s="54">
        <f aca="true" t="shared" si="26" ref="C108:M108">C76*C$130</f>
        <v>9817485.66711293</v>
      </c>
      <c r="D108" s="54">
        <f t="shared" si="26"/>
        <v>10972836.990218822</v>
      </c>
      <c r="E108" s="54">
        <f t="shared" si="26"/>
        <v>10172979.38644078</v>
      </c>
      <c r="F108" s="54">
        <f t="shared" si="26"/>
        <v>10674777.248168172</v>
      </c>
      <c r="G108" s="54">
        <f t="shared" si="26"/>
        <v>9654565.780801293</v>
      </c>
      <c r="H108" s="54">
        <f t="shared" si="26"/>
        <v>10215235.340758752</v>
      </c>
      <c r="I108" s="54">
        <f t="shared" si="26"/>
        <v>10590478.813122688</v>
      </c>
      <c r="J108" s="54">
        <f t="shared" si="26"/>
        <v>10586128.384069487</v>
      </c>
      <c r="K108" s="54">
        <f t="shared" si="26"/>
        <v>10372374.86585469</v>
      </c>
      <c r="L108" s="54">
        <f t="shared" si="26"/>
        <v>11011271.147738455</v>
      </c>
      <c r="M108" s="54">
        <f t="shared" si="26"/>
        <v>11433403.126959104</v>
      </c>
      <c r="N108" s="56">
        <f t="shared" si="15"/>
        <v>125231265.53116962</v>
      </c>
      <c r="O108" s="58"/>
      <c r="P108" s="58"/>
    </row>
    <row r="109" spans="1:16" ht="12.75">
      <c r="A109" s="11" t="s">
        <v>44</v>
      </c>
      <c r="B109" s="58">
        <f>SUM(B99:B108)</f>
        <v>1216187995.673529</v>
      </c>
      <c r="C109" s="58">
        <f aca="true" t="shared" si="27" ref="C109:M109">SUM(C99:C108)</f>
        <v>1123615903.8008926</v>
      </c>
      <c r="D109" s="58">
        <f t="shared" si="27"/>
        <v>1144098363.470108</v>
      </c>
      <c r="E109" s="58">
        <f t="shared" si="27"/>
        <v>986405631.6706802</v>
      </c>
      <c r="F109" s="58">
        <f t="shared" si="27"/>
        <v>920039791.5452534</v>
      </c>
      <c r="G109" s="58">
        <f t="shared" si="27"/>
        <v>863719606.4179467</v>
      </c>
      <c r="H109" s="58">
        <f t="shared" si="27"/>
        <v>888332359.9539849</v>
      </c>
      <c r="I109" s="58">
        <f t="shared" si="27"/>
        <v>894729567.3378556</v>
      </c>
      <c r="J109" s="58">
        <f t="shared" si="27"/>
        <v>796816314.6256407</v>
      </c>
      <c r="K109" s="58">
        <f t="shared" si="27"/>
        <v>806293064.7620507</v>
      </c>
      <c r="L109" s="58">
        <f t="shared" si="27"/>
        <v>871056589.4435639</v>
      </c>
      <c r="M109" s="58">
        <f t="shared" si="27"/>
        <v>1051456454.6496555</v>
      </c>
      <c r="N109" s="54">
        <f t="shared" si="15"/>
        <v>11562751643.351162</v>
      </c>
      <c r="O109" s="58"/>
      <c r="P109" s="58"/>
    </row>
    <row r="110" ht="12.75">
      <c r="N110" s="1"/>
    </row>
    <row r="111" spans="1:16" ht="12.75">
      <c r="A111" s="2" t="s">
        <v>96</v>
      </c>
      <c r="O111" s="58"/>
      <c r="P111" s="58"/>
    </row>
    <row r="112" spans="1:16" ht="12.75">
      <c r="A112" s="323" t="s">
        <v>74</v>
      </c>
      <c r="O112" s="58"/>
      <c r="P112" s="58"/>
    </row>
    <row r="113" spans="1:16" ht="12.75">
      <c r="A113" s="323" t="s">
        <v>162</v>
      </c>
      <c r="B113" s="54">
        <f>B81*B$130</f>
        <v>15529877.464162042</v>
      </c>
      <c r="C113" s="54">
        <f aca="true" t="shared" si="28" ref="C113:M113">C81*C$130</f>
        <v>12447249.928967636</v>
      </c>
      <c r="D113" s="54">
        <f t="shared" si="28"/>
        <v>15436675.81763652</v>
      </c>
      <c r="E113" s="54">
        <f t="shared" si="28"/>
        <v>14723009.488872565</v>
      </c>
      <c r="F113" s="54">
        <f t="shared" si="28"/>
        <v>15188827.818298155</v>
      </c>
      <c r="G113" s="54">
        <f t="shared" si="28"/>
        <v>14621484.979525864</v>
      </c>
      <c r="H113" s="54">
        <f t="shared" si="28"/>
        <v>15838995.581715219</v>
      </c>
      <c r="I113" s="54">
        <f t="shared" si="28"/>
        <v>15981529.440100865</v>
      </c>
      <c r="J113" s="54">
        <f t="shared" si="28"/>
        <v>14717124.314552704</v>
      </c>
      <c r="K113" s="54">
        <f t="shared" si="28"/>
        <v>16160968.957305683</v>
      </c>
      <c r="L113" s="54">
        <f t="shared" si="28"/>
        <v>14911616.59796452</v>
      </c>
      <c r="M113" s="54">
        <f t="shared" si="28"/>
        <v>15814927.595701596</v>
      </c>
      <c r="N113" s="54">
        <f>SUM(B113:M113)</f>
        <v>181372287.98480338</v>
      </c>
      <c r="O113" s="58"/>
      <c r="P113" s="58"/>
    </row>
    <row r="114" spans="1:16" ht="12.75">
      <c r="A114" s="324" t="s">
        <v>163</v>
      </c>
      <c r="B114" s="54">
        <f>B82*B$130</f>
        <v>0</v>
      </c>
      <c r="C114" s="54">
        <f aca="true" t="shared" si="29" ref="C114:M114">C82*C$130</f>
        <v>0</v>
      </c>
      <c r="D114" s="54">
        <f t="shared" si="29"/>
        <v>0</v>
      </c>
      <c r="E114" s="54">
        <f t="shared" si="29"/>
        <v>0</v>
      </c>
      <c r="F114" s="54">
        <f t="shared" si="29"/>
        <v>0</v>
      </c>
      <c r="G114" s="54">
        <f t="shared" si="29"/>
        <v>0</v>
      </c>
      <c r="H114" s="54">
        <f t="shared" si="29"/>
        <v>0</v>
      </c>
      <c r="I114" s="54">
        <f t="shared" si="29"/>
        <v>0</v>
      </c>
      <c r="J114" s="54">
        <f t="shared" si="29"/>
        <v>0</v>
      </c>
      <c r="K114" s="54">
        <f t="shared" si="29"/>
        <v>0</v>
      </c>
      <c r="L114" s="54">
        <f t="shared" si="29"/>
        <v>0</v>
      </c>
      <c r="M114" s="54">
        <f t="shared" si="29"/>
        <v>0</v>
      </c>
      <c r="N114" s="54">
        <f>SUM(B114:M114)</f>
        <v>0</v>
      </c>
      <c r="O114" s="58"/>
      <c r="P114" s="58"/>
    </row>
    <row r="115" spans="1:16" ht="12.75">
      <c r="A115" s="1" t="s">
        <v>31</v>
      </c>
      <c r="B115" s="54">
        <f>B83*B$130</f>
        <v>-455323.9818021747</v>
      </c>
      <c r="C115" s="54">
        <f aca="true" t="shared" si="30" ref="C115:M115">C83*C$130</f>
        <v>-212244.86992620947</v>
      </c>
      <c r="D115" s="54">
        <f t="shared" si="30"/>
        <v>-204699.74951246686</v>
      </c>
      <c r="E115" s="54">
        <f t="shared" si="30"/>
        <v>98593.35952874667</v>
      </c>
      <c r="F115" s="54">
        <f t="shared" si="30"/>
        <v>1775152.6772861881</v>
      </c>
      <c r="G115" s="54">
        <f t="shared" si="30"/>
        <v>-60418.4582502744</v>
      </c>
      <c r="H115" s="54">
        <f t="shared" si="30"/>
        <v>2052459.112880204</v>
      </c>
      <c r="I115" s="54">
        <f t="shared" si="30"/>
        <v>1547582.7054268771</v>
      </c>
      <c r="J115" s="54">
        <f t="shared" si="30"/>
        <v>599075.323245945</v>
      </c>
      <c r="K115" s="54">
        <f t="shared" si="30"/>
        <v>2857023.643573574</v>
      </c>
      <c r="L115" s="54">
        <f t="shared" si="30"/>
        <v>1348051.7264245139</v>
      </c>
      <c r="M115" s="54">
        <f t="shared" si="30"/>
        <v>204439.93029503277</v>
      </c>
      <c r="N115" s="54">
        <f>SUM(B115:M115)</f>
        <v>9549691.419169957</v>
      </c>
      <c r="O115" s="58"/>
      <c r="P115" s="58"/>
    </row>
    <row r="116" spans="1:16" ht="12.75">
      <c r="A116" s="1" t="s">
        <v>282</v>
      </c>
      <c r="B116" s="54">
        <f>B84*B$130</f>
        <v>15782395.796912646</v>
      </c>
      <c r="C116" s="54">
        <f aca="true" t="shared" si="31" ref="C116:M116">C84*C$130</f>
        <v>15716224.657787422</v>
      </c>
      <c r="D116" s="54">
        <f t="shared" si="31"/>
        <v>15730308.238080697</v>
      </c>
      <c r="E116" s="54">
        <f t="shared" si="31"/>
        <v>16003271.183557136</v>
      </c>
      <c r="F116" s="54">
        <f t="shared" si="31"/>
        <v>15435800.628351785</v>
      </c>
      <c r="G116" s="54">
        <f t="shared" si="31"/>
        <v>15892918.456006374</v>
      </c>
      <c r="H116" s="54">
        <f t="shared" si="31"/>
        <v>16096540.225320345</v>
      </c>
      <c r="I116" s="54">
        <f t="shared" si="31"/>
        <v>16241391.707419584</v>
      </c>
      <c r="J116" s="54">
        <f t="shared" si="31"/>
        <v>15996874.254948592</v>
      </c>
      <c r="K116" s="54">
        <f t="shared" si="31"/>
        <v>16423748.940351304</v>
      </c>
      <c r="L116" s="54">
        <f t="shared" si="31"/>
        <v>16208278.910830999</v>
      </c>
      <c r="M116" s="54">
        <f t="shared" si="31"/>
        <v>16072080.889940647</v>
      </c>
      <c r="N116" s="54">
        <f>SUM(B116:M116)</f>
        <v>191599833.88950756</v>
      </c>
      <c r="O116" s="58"/>
      <c r="P116" s="58"/>
    </row>
    <row r="117" spans="1:16" ht="12.75">
      <c r="A117" s="326" t="s">
        <v>134</v>
      </c>
      <c r="B117" s="54">
        <f>B85*B$130</f>
        <v>-1538995.9528013289</v>
      </c>
      <c r="C117" s="54">
        <f aca="true" t="shared" si="32" ref="C117:M117">C85*C$130</f>
        <v>4747484.482278692</v>
      </c>
      <c r="D117" s="54">
        <f t="shared" si="32"/>
        <v>9403758.223687055</v>
      </c>
      <c r="E117" s="54">
        <f t="shared" si="32"/>
        <v>13037071.297361206</v>
      </c>
      <c r="F117" s="54">
        <f t="shared" si="32"/>
        <v>16438249.330810413</v>
      </c>
      <c r="G117" s="54">
        <f t="shared" si="32"/>
        <v>458607.60477156396</v>
      </c>
      <c r="H117" s="54">
        <f t="shared" si="32"/>
        <v>17685709.12609941</v>
      </c>
      <c r="I117" s="54">
        <f t="shared" si="32"/>
        <v>2329937.809197079</v>
      </c>
      <c r="J117" s="54">
        <f t="shared" si="32"/>
        <v>-2999769.5183880082</v>
      </c>
      <c r="K117" s="54">
        <f t="shared" si="32"/>
        <v>-4031242.3032809305</v>
      </c>
      <c r="L117" s="54">
        <f t="shared" si="32"/>
        <v>0</v>
      </c>
      <c r="M117" s="54">
        <f t="shared" si="32"/>
        <v>0</v>
      </c>
      <c r="N117" s="54">
        <f>SUM(B117:M117)</f>
        <v>55530810.09973515</v>
      </c>
      <c r="O117" s="58"/>
      <c r="P117" s="58"/>
    </row>
    <row r="118" spans="1:16" ht="12.75">
      <c r="A118" s="1" t="s">
        <v>44</v>
      </c>
      <c r="B118" s="58">
        <f aca="true" t="shared" si="33" ref="B118:N118">SUM(B113:B117)</f>
        <v>29317953.326471183</v>
      </c>
      <c r="C118" s="58">
        <f t="shared" si="33"/>
        <v>32698714.199107543</v>
      </c>
      <c r="D118" s="58">
        <f t="shared" si="33"/>
        <v>40366042.529891804</v>
      </c>
      <c r="E118" s="58">
        <f t="shared" si="33"/>
        <v>43861945.329319656</v>
      </c>
      <c r="F118" s="58">
        <f t="shared" si="33"/>
        <v>48838030.454746544</v>
      </c>
      <c r="G118" s="58">
        <f t="shared" si="33"/>
        <v>30912592.58205353</v>
      </c>
      <c r="H118" s="58">
        <f t="shared" si="33"/>
        <v>51673704.04601517</v>
      </c>
      <c r="I118" s="58">
        <f t="shared" si="33"/>
        <v>36100441.6621444</v>
      </c>
      <c r="J118" s="58">
        <f t="shared" si="33"/>
        <v>28313304.37435923</v>
      </c>
      <c r="K118" s="58">
        <f t="shared" si="33"/>
        <v>31410499.23794963</v>
      </c>
      <c r="L118" s="58">
        <f t="shared" si="33"/>
        <v>32467947.23522003</v>
      </c>
      <c r="M118" s="58">
        <f t="shared" si="33"/>
        <v>32091448.415937275</v>
      </c>
      <c r="N118" s="54">
        <f t="shared" si="33"/>
        <v>438052623.393216</v>
      </c>
      <c r="O118" s="58"/>
      <c r="P118" s="58"/>
    </row>
    <row r="119" spans="1:16" ht="12.75">
      <c r="A119" s="1"/>
      <c r="N119" s="58">
        <f>SUM(B119:M119)</f>
        <v>0</v>
      </c>
      <c r="O119" s="58"/>
      <c r="P119" s="58"/>
    </row>
    <row r="120" spans="1:16" ht="12.75">
      <c r="A120" s="2" t="s">
        <v>136</v>
      </c>
      <c r="B120" s="54">
        <f>B109+B118</f>
        <v>1245505949</v>
      </c>
      <c r="C120" s="54">
        <f aca="true" t="shared" si="34" ref="C120:M120">C109+C118</f>
        <v>1156314618.0000002</v>
      </c>
      <c r="D120" s="54">
        <f t="shared" si="34"/>
        <v>1184464405.9999998</v>
      </c>
      <c r="E120" s="54">
        <f t="shared" si="34"/>
        <v>1030267576.9999998</v>
      </c>
      <c r="F120" s="54">
        <f t="shared" si="34"/>
        <v>968877822</v>
      </c>
      <c r="G120" s="54">
        <f t="shared" si="34"/>
        <v>894632199.0000002</v>
      </c>
      <c r="H120" s="54">
        <f t="shared" si="34"/>
        <v>940006064</v>
      </c>
      <c r="I120" s="54">
        <f t="shared" si="34"/>
        <v>930830009</v>
      </c>
      <c r="J120" s="54">
        <f t="shared" si="34"/>
        <v>825129619</v>
      </c>
      <c r="K120" s="54">
        <f t="shared" si="34"/>
        <v>837703564.0000004</v>
      </c>
      <c r="L120" s="54">
        <f t="shared" si="34"/>
        <v>903524536.678784</v>
      </c>
      <c r="M120" s="54">
        <f t="shared" si="34"/>
        <v>1083547903.0655928</v>
      </c>
      <c r="N120" s="54">
        <f>SUM(B120:M120)</f>
        <v>12000804266.744377</v>
      </c>
      <c r="O120" s="58"/>
      <c r="P120" s="58"/>
    </row>
    <row r="121" spans="2:16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8"/>
      <c r="O121" s="58"/>
      <c r="P121" s="58"/>
    </row>
    <row r="122" spans="1:16" ht="12.75">
      <c r="A122" s="2" t="s">
        <v>97</v>
      </c>
      <c r="B122" s="54">
        <f>B90</f>
        <v>208000</v>
      </c>
      <c r="C122" s="54">
        <f aca="true" t="shared" si="35" ref="C122:M122">C90</f>
        <v>62000</v>
      </c>
      <c r="D122" s="54">
        <f t="shared" si="35"/>
        <v>361000</v>
      </c>
      <c r="E122" s="54">
        <f t="shared" si="35"/>
        <v>52000</v>
      </c>
      <c r="F122" s="54">
        <f t="shared" si="35"/>
        <v>180000</v>
      </c>
      <c r="G122" s="54">
        <f t="shared" si="35"/>
        <v>0</v>
      </c>
      <c r="H122" s="54">
        <f t="shared" si="35"/>
        <v>1102000</v>
      </c>
      <c r="I122" s="54">
        <f t="shared" si="35"/>
        <v>1263000</v>
      </c>
      <c r="J122" s="54">
        <f t="shared" si="35"/>
        <v>285000</v>
      </c>
      <c r="K122" s="54">
        <f t="shared" si="35"/>
        <v>996000</v>
      </c>
      <c r="L122" s="54">
        <f t="shared" si="35"/>
        <v>21981000</v>
      </c>
      <c r="M122" s="54">
        <f t="shared" si="35"/>
        <v>-4000</v>
      </c>
      <c r="N122" s="54">
        <f>SUM(B122:M122)</f>
        <v>26486000</v>
      </c>
      <c r="O122" s="58"/>
      <c r="P122" s="58"/>
    </row>
    <row r="123" spans="2:16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8"/>
      <c r="P123" s="58"/>
    </row>
    <row r="124" spans="1:16" ht="12.75">
      <c r="A124" s="20" t="s">
        <v>287</v>
      </c>
      <c r="B124" s="54">
        <f>B120+B122</f>
        <v>1245713949</v>
      </c>
      <c r="C124" s="54">
        <f aca="true" t="shared" si="36" ref="C124:M124">C120+C122</f>
        <v>1156376618.0000002</v>
      </c>
      <c r="D124" s="54">
        <f t="shared" si="36"/>
        <v>1184825405.9999998</v>
      </c>
      <c r="E124" s="54">
        <f t="shared" si="36"/>
        <v>1030319576.9999998</v>
      </c>
      <c r="F124" s="54">
        <f t="shared" si="36"/>
        <v>969057822</v>
      </c>
      <c r="G124" s="54">
        <f t="shared" si="36"/>
        <v>894632199.0000002</v>
      </c>
      <c r="H124" s="54">
        <f t="shared" si="36"/>
        <v>941108064</v>
      </c>
      <c r="I124" s="54">
        <f t="shared" si="36"/>
        <v>932093009</v>
      </c>
      <c r="J124" s="54">
        <f t="shared" si="36"/>
        <v>825414619</v>
      </c>
      <c r="K124" s="54">
        <f t="shared" si="36"/>
        <v>838699564.0000004</v>
      </c>
      <c r="L124" s="54">
        <f t="shared" si="36"/>
        <v>925505536.678784</v>
      </c>
      <c r="M124" s="54">
        <f t="shared" si="36"/>
        <v>1083543903.0655928</v>
      </c>
      <c r="N124" s="54">
        <f>SUM(B124:M124)</f>
        <v>12027290266.744377</v>
      </c>
      <c r="O124" s="58"/>
      <c r="P124" s="58"/>
    </row>
    <row r="125" spans="1:14" ht="12.75">
      <c r="A125" s="20"/>
      <c r="N125" s="78"/>
    </row>
    <row r="126" spans="1:14" ht="12.75">
      <c r="A126" s="3" t="s">
        <v>288</v>
      </c>
      <c r="B126" s="54">
        <f aca="true" t="shared" si="37" ref="B126:M126">+B109+B118</f>
        <v>1245505949</v>
      </c>
      <c r="C126" s="54">
        <f t="shared" si="37"/>
        <v>1156314618.0000002</v>
      </c>
      <c r="D126" s="54">
        <f t="shared" si="37"/>
        <v>1184464405.9999998</v>
      </c>
      <c r="E126" s="54">
        <f t="shared" si="37"/>
        <v>1030267576.9999998</v>
      </c>
      <c r="F126" s="54">
        <f t="shared" si="37"/>
        <v>968877822</v>
      </c>
      <c r="G126" s="54">
        <f t="shared" si="37"/>
        <v>894632199.0000002</v>
      </c>
      <c r="H126" s="54">
        <f>+H109+H118</f>
        <v>940006064</v>
      </c>
      <c r="I126" s="54">
        <f t="shared" si="37"/>
        <v>930830009</v>
      </c>
      <c r="J126" s="54">
        <f t="shared" si="37"/>
        <v>825129619</v>
      </c>
      <c r="K126" s="54">
        <f t="shared" si="37"/>
        <v>837703564.0000004</v>
      </c>
      <c r="L126" s="54">
        <f t="shared" si="37"/>
        <v>903524536.678784</v>
      </c>
      <c r="M126" s="54">
        <f t="shared" si="37"/>
        <v>1083547903.0655928</v>
      </c>
      <c r="N126" s="54">
        <f>SUM(B126:M126)</f>
        <v>12000804266.744377</v>
      </c>
    </row>
    <row r="127" spans="1:14" ht="12.75">
      <c r="A127" s="3" t="s">
        <v>256</v>
      </c>
      <c r="B127" s="54">
        <f>B126-B129</f>
        <v>0</v>
      </c>
      <c r="C127" s="54">
        <f aca="true" t="shared" si="38" ref="C127:N127">C126-C129</f>
        <v>0</v>
      </c>
      <c r="D127" s="54">
        <f t="shared" si="38"/>
        <v>0</v>
      </c>
      <c r="E127" s="54">
        <f t="shared" si="38"/>
        <v>0</v>
      </c>
      <c r="F127" s="54">
        <f t="shared" si="38"/>
        <v>0</v>
      </c>
      <c r="G127" s="54">
        <f t="shared" si="38"/>
        <v>0</v>
      </c>
      <c r="H127" s="54">
        <f>H126-H129</f>
        <v>0</v>
      </c>
      <c r="I127" s="54">
        <f t="shared" si="38"/>
        <v>0</v>
      </c>
      <c r="J127" s="54">
        <f t="shared" si="38"/>
        <v>0</v>
      </c>
      <c r="K127" s="54">
        <f t="shared" si="38"/>
        <v>0</v>
      </c>
      <c r="L127" s="54">
        <f t="shared" si="38"/>
        <v>0</v>
      </c>
      <c r="M127" s="54">
        <f t="shared" si="38"/>
        <v>0</v>
      </c>
      <c r="N127" s="54">
        <f t="shared" si="38"/>
        <v>0</v>
      </c>
    </row>
    <row r="128" spans="1:14" ht="12.75">
      <c r="A128" s="3" t="s">
        <v>289</v>
      </c>
      <c r="B128" s="54">
        <f>B88</f>
        <v>1268305523.1753476</v>
      </c>
      <c r="C128" s="54">
        <f aca="true" t="shared" si="39" ref="C128:M128">C88</f>
        <v>1182439136.9370794</v>
      </c>
      <c r="D128" s="54">
        <f t="shared" si="39"/>
        <v>1210140482.9477406</v>
      </c>
      <c r="E128" s="54">
        <f t="shared" si="39"/>
        <v>1034647174.338498</v>
      </c>
      <c r="F128" s="54">
        <f t="shared" si="39"/>
        <v>1008766990.1688322</v>
      </c>
      <c r="G128" s="54">
        <f t="shared" si="39"/>
        <v>904673518.5603936</v>
      </c>
      <c r="H128" s="54">
        <f t="shared" si="39"/>
        <v>938532084.838905</v>
      </c>
      <c r="I128" s="54">
        <f t="shared" si="39"/>
        <v>921081677.7978245</v>
      </c>
      <c r="J128" s="54">
        <f t="shared" si="39"/>
        <v>828968549.3859823</v>
      </c>
      <c r="K128" s="54">
        <f t="shared" si="39"/>
        <v>819726685.8504004</v>
      </c>
      <c r="L128" s="54">
        <f t="shared" si="39"/>
        <v>895888697.7581793</v>
      </c>
      <c r="M128" s="54">
        <f t="shared" si="39"/>
        <v>1083495257.0103927</v>
      </c>
      <c r="N128" s="54">
        <f>SUM(B128:M128)</f>
        <v>12096665778.769575</v>
      </c>
    </row>
    <row r="129" spans="1:14" ht="12.75">
      <c r="A129" s="3" t="s">
        <v>290</v>
      </c>
      <c r="B129" s="54">
        <f>'Data Inputs - 2011'!C50</f>
        <v>1245505949</v>
      </c>
      <c r="C129" s="54">
        <f>'Data Inputs - 2011'!D50</f>
        <v>1156314618.0000002</v>
      </c>
      <c r="D129" s="54">
        <f>'Data Inputs - 2011'!E50</f>
        <v>1184464405.9999998</v>
      </c>
      <c r="E129" s="54">
        <f>'Data Inputs - 2011'!F50</f>
        <v>1030267577.0000001</v>
      </c>
      <c r="F129" s="54">
        <f>'Data Inputs - 2011'!G50</f>
        <v>968877822</v>
      </c>
      <c r="G129" s="54">
        <f>'Data Inputs - 2011'!H50</f>
        <v>894632199.0000002</v>
      </c>
      <c r="H129" s="54">
        <f>'Data Inputs - 2011'!I50</f>
        <v>940006064.0000001</v>
      </c>
      <c r="I129" s="54">
        <f>'Data Inputs - 2011'!J50</f>
        <v>930830009.0000001</v>
      </c>
      <c r="J129" s="54">
        <f>'Data Inputs - 2011'!K50</f>
        <v>825129619</v>
      </c>
      <c r="K129" s="54">
        <f>'Data Inputs - 2011'!L50</f>
        <v>837703564</v>
      </c>
      <c r="L129" s="54">
        <f>'Data Inputs - 2011'!M50</f>
        <v>903524536.6787843</v>
      </c>
      <c r="M129" s="54">
        <f>'Data Inputs - 2011'!N50</f>
        <v>1083547903.0655928</v>
      </c>
      <c r="N129" s="54">
        <f>SUM(B129:M129)</f>
        <v>12000804266.744377</v>
      </c>
    </row>
    <row r="130" spans="1:14" ht="12.75">
      <c r="A130" s="20" t="s">
        <v>291</v>
      </c>
      <c r="B130" s="160">
        <f>+B129/B128</f>
        <v>0.9820235946633219</v>
      </c>
      <c r="C130" s="160">
        <f aca="true" t="shared" si="40" ref="C130:N130">+C129/C128</f>
        <v>0.9779062464011885</v>
      </c>
      <c r="D130" s="160">
        <f t="shared" si="40"/>
        <v>0.9787825650744306</v>
      </c>
      <c r="E130" s="160">
        <f t="shared" si="40"/>
        <v>0.9957670620022734</v>
      </c>
      <c r="F130" s="160">
        <f t="shared" si="40"/>
        <v>0.9604575005352265</v>
      </c>
      <c r="G130" s="160">
        <f t="shared" si="40"/>
        <v>0.9889006151342066</v>
      </c>
      <c r="H130" s="160">
        <f t="shared" si="40"/>
        <v>1.0015705154729453</v>
      </c>
      <c r="I130" s="160">
        <f t="shared" si="40"/>
        <v>1.0105835686857678</v>
      </c>
      <c r="J130" s="160">
        <f t="shared" si="40"/>
        <v>0.9953690277045785</v>
      </c>
      <c r="K130" s="160">
        <f t="shared" si="40"/>
        <v>1.0219303317311794</v>
      </c>
      <c r="L130" s="160">
        <f t="shared" si="40"/>
        <v>1.0085232004150877</v>
      </c>
      <c r="M130" s="160">
        <f t="shared" si="40"/>
        <v>1.0000485890961308</v>
      </c>
      <c r="N130" s="160">
        <f t="shared" si="40"/>
        <v>0.9920753773164965</v>
      </c>
    </row>
    <row r="131" spans="1:13" ht="12.75">
      <c r="A131" s="2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ht="5.25" customHeight="1"/>
    <row r="133" ht="15.75">
      <c r="A133" s="86" t="s">
        <v>182</v>
      </c>
    </row>
    <row r="134" ht="12.75">
      <c r="A134" s="20" t="s">
        <v>98</v>
      </c>
    </row>
    <row r="135" spans="1:13" ht="12.75">
      <c r="A135" s="21" t="s">
        <v>54</v>
      </c>
      <c r="B135" s="7">
        <f aca="true" t="shared" si="41" ref="B135:M135">+B99/B$109</f>
        <v>0.464701299181056</v>
      </c>
      <c r="C135" s="7">
        <f t="shared" si="41"/>
        <v>0.4575141420936931</v>
      </c>
      <c r="D135" s="7">
        <f t="shared" si="41"/>
        <v>0.43438510048524065</v>
      </c>
      <c r="E135" s="7">
        <f t="shared" si="41"/>
        <v>0.4003591338373958</v>
      </c>
      <c r="F135" s="7">
        <f t="shared" si="41"/>
        <v>0.37875835772999844</v>
      </c>
      <c r="G135" s="7">
        <f t="shared" si="41"/>
        <v>0.33486332823538917</v>
      </c>
      <c r="H135" s="7">
        <f t="shared" si="41"/>
        <v>0.31962873658114027</v>
      </c>
      <c r="I135" s="7">
        <f t="shared" si="41"/>
        <v>0.32385638637557757</v>
      </c>
      <c r="J135" s="7">
        <f t="shared" si="41"/>
        <v>0.3556638199850505</v>
      </c>
      <c r="K135" s="7">
        <f t="shared" si="41"/>
        <v>0.4092538425806383</v>
      </c>
      <c r="L135" s="7">
        <f t="shared" si="41"/>
        <v>0.4430572806590168</v>
      </c>
      <c r="M135" s="7">
        <f t="shared" si="41"/>
        <v>0.4979523073173671</v>
      </c>
    </row>
    <row r="136" spans="1:13" ht="12.75">
      <c r="A136" s="21" t="s">
        <v>46</v>
      </c>
      <c r="B136" s="7">
        <f aca="true" t="shared" si="42" ref="B136:M136">+B100/B$109</f>
        <v>0.022308259543612693</v>
      </c>
      <c r="C136" s="7">
        <f t="shared" si="42"/>
        <v>0.023007614643061225</v>
      </c>
      <c r="D136" s="7">
        <f t="shared" si="42"/>
        <v>0.023480605746121624</v>
      </c>
      <c r="E136" s="7">
        <f t="shared" si="42"/>
        <v>0.02177056015673934</v>
      </c>
      <c r="F136" s="7">
        <f t="shared" si="42"/>
        <v>0.022576321311972222</v>
      </c>
      <c r="G136" s="7">
        <f t="shared" si="42"/>
        <v>0.020847125132669658</v>
      </c>
      <c r="H136" s="7">
        <f t="shared" si="42"/>
        <v>0.021281276236243974</v>
      </c>
      <c r="I136" s="7">
        <f t="shared" si="42"/>
        <v>0.02148008054440778</v>
      </c>
      <c r="J136" s="7">
        <f t="shared" si="42"/>
        <v>0.023769429415013067</v>
      </c>
      <c r="K136" s="7">
        <f t="shared" si="42"/>
        <v>0.02485064377981412</v>
      </c>
      <c r="L136" s="7">
        <f t="shared" si="42"/>
        <v>0.02245015351159936</v>
      </c>
      <c r="M136" s="7">
        <f t="shared" si="42"/>
        <v>0.023476720605402762</v>
      </c>
    </row>
    <row r="137" spans="1:13" ht="12.75">
      <c r="A137" s="21" t="s">
        <v>47</v>
      </c>
      <c r="B137" s="7">
        <f aca="true" t="shared" si="43" ref="B137:M137">+B101/B$109</f>
        <v>0.20723628008415407</v>
      </c>
      <c r="C137" s="7">
        <f t="shared" si="43"/>
        <v>0.212742601346845</v>
      </c>
      <c r="D137" s="7">
        <f t="shared" si="43"/>
        <v>0.2106533292275363</v>
      </c>
      <c r="E137" s="7">
        <f t="shared" si="43"/>
        <v>0.20880691714378524</v>
      </c>
      <c r="F137" s="7">
        <f t="shared" si="43"/>
        <v>0.212146406867838</v>
      </c>
      <c r="G137" s="7">
        <f t="shared" si="43"/>
        <v>0.22841570415082924</v>
      </c>
      <c r="H137" s="7">
        <f t="shared" si="43"/>
        <v>0.2333894657126759</v>
      </c>
      <c r="I137" s="7">
        <f t="shared" si="43"/>
        <v>0.22924280164221542</v>
      </c>
      <c r="J137" s="7">
        <f t="shared" si="43"/>
        <v>0.23968313807999764</v>
      </c>
      <c r="K137" s="7">
        <f t="shared" si="43"/>
        <v>0.2656226615116053</v>
      </c>
      <c r="L137" s="7">
        <f t="shared" si="43"/>
        <v>0.24516197467412937</v>
      </c>
      <c r="M137" s="7">
        <f t="shared" si="43"/>
        <v>0.23356540068318185</v>
      </c>
    </row>
    <row r="138" spans="1:13" ht="12.75">
      <c r="A138" s="21" t="s">
        <v>48</v>
      </c>
      <c r="B138" s="7">
        <f aca="true" t="shared" si="44" ref="B138:M138">+B102/B$109</f>
        <v>0.03029639197567776</v>
      </c>
      <c r="C138" s="7">
        <f t="shared" si="44"/>
        <v>0.028665097459940624</v>
      </c>
      <c r="D138" s="7">
        <f t="shared" si="44"/>
        <v>0.03413859222961966</v>
      </c>
      <c r="E138" s="7">
        <f t="shared" si="44"/>
        <v>0.034851088463711516</v>
      </c>
      <c r="F138" s="7">
        <f t="shared" si="44"/>
        <v>0.037371731874134756</v>
      </c>
      <c r="G138" s="7">
        <f t="shared" si="44"/>
        <v>0.039936568054857666</v>
      </c>
      <c r="H138" s="7">
        <f t="shared" si="44"/>
        <v>0.04544197651242983</v>
      </c>
      <c r="I138" s="7">
        <f t="shared" si="44"/>
        <v>0.04649098203912926</v>
      </c>
      <c r="J138" s="7">
        <f t="shared" si="44"/>
        <v>0.047189089482847384</v>
      </c>
      <c r="K138" s="7">
        <f t="shared" si="44"/>
        <v>0.04706797428281307</v>
      </c>
      <c r="L138" s="7">
        <f t="shared" si="44"/>
        <v>0.04053675395469168</v>
      </c>
      <c r="M138" s="7">
        <f t="shared" si="44"/>
        <v>0.03398910552076888</v>
      </c>
    </row>
    <row r="139" spans="1:13" ht="12.75">
      <c r="A139" s="21" t="s">
        <v>49</v>
      </c>
      <c r="B139" s="7">
        <f aca="true" t="shared" si="45" ref="B139:M139">+B103/B$109</f>
        <v>0.020421166851713336</v>
      </c>
      <c r="C139" s="7">
        <f t="shared" si="45"/>
        <v>0.02050594107116334</v>
      </c>
      <c r="D139" s="7">
        <f t="shared" si="45"/>
        <v>0.021755790668049568</v>
      </c>
      <c r="E139" s="7">
        <f t="shared" si="45"/>
        <v>0.021655073255359935</v>
      </c>
      <c r="F139" s="7">
        <f t="shared" si="45"/>
        <v>0.023221490598763782</v>
      </c>
      <c r="G139" s="7">
        <f t="shared" si="45"/>
        <v>0.02451729377471654</v>
      </c>
      <c r="H139" s="7">
        <f t="shared" si="45"/>
        <v>0.02746011550165736</v>
      </c>
      <c r="I139" s="7">
        <f t="shared" si="45"/>
        <v>0.02271328123529541</v>
      </c>
      <c r="J139" s="7">
        <f t="shared" si="45"/>
        <v>0.02791263786027857</v>
      </c>
      <c r="K139" s="7">
        <f t="shared" si="45"/>
        <v>0.02236034697372783</v>
      </c>
      <c r="L139" s="7">
        <f t="shared" si="45"/>
        <v>0.025423401029675028</v>
      </c>
      <c r="M139" s="7">
        <f t="shared" si="45"/>
        <v>0.024513985832518754</v>
      </c>
    </row>
    <row r="140" spans="1:13" ht="12.75">
      <c r="A140" s="21" t="s">
        <v>50</v>
      </c>
      <c r="B140" s="7">
        <f aca="true" t="shared" si="46" ref="B140:M140">+B104/B$109</f>
        <v>0.031792443491970454</v>
      </c>
      <c r="C140" s="7">
        <f t="shared" si="46"/>
        <v>0.03569554391297468</v>
      </c>
      <c r="D140" s="7">
        <f t="shared" si="46"/>
        <v>0.03941987692542888</v>
      </c>
      <c r="E140" s="7">
        <f t="shared" si="46"/>
        <v>0.045011503449942716</v>
      </c>
      <c r="F140" s="7">
        <f t="shared" si="46"/>
        <v>0.042593487282201206</v>
      </c>
      <c r="G140" s="7">
        <f t="shared" si="46"/>
        <v>0.05014910115679997</v>
      </c>
      <c r="H140" s="7">
        <f t="shared" si="46"/>
        <v>0.04910672339973333</v>
      </c>
      <c r="I140" s="7">
        <f t="shared" si="46"/>
        <v>0.04801276838000093</v>
      </c>
      <c r="J140" s="7">
        <f t="shared" si="46"/>
        <v>0.056530684791889316</v>
      </c>
      <c r="K140" s="7">
        <f t="shared" si="46"/>
        <v>0.05608664955004635</v>
      </c>
      <c r="L140" s="7">
        <f t="shared" si="46"/>
        <v>0.05026233010032428</v>
      </c>
      <c r="M140" s="7">
        <f t="shared" si="46"/>
        <v>0.0425943870578502</v>
      </c>
    </row>
    <row r="141" spans="1:13" ht="12.75">
      <c r="A141" s="21" t="s">
        <v>51</v>
      </c>
      <c r="B141" s="7">
        <f aca="true" t="shared" si="47" ref="B141:M141">+B105/B$109</f>
        <v>0.06514499447548248</v>
      </c>
      <c r="C141" s="7">
        <f t="shared" si="47"/>
        <v>0.06618876637823877</v>
      </c>
      <c r="D141" s="7">
        <f t="shared" si="47"/>
        <v>0.06957455107861128</v>
      </c>
      <c r="E141" s="7">
        <f t="shared" si="47"/>
        <v>0.07977977727586917</v>
      </c>
      <c r="F141" s="7">
        <f t="shared" si="47"/>
        <v>0.08442594409283959</v>
      </c>
      <c r="G141" s="7">
        <f t="shared" si="47"/>
        <v>0.09261722804627812</v>
      </c>
      <c r="H141" s="7">
        <f t="shared" si="47"/>
        <v>0.09061914002721065</v>
      </c>
      <c r="I141" s="7">
        <f t="shared" si="47"/>
        <v>0.09438226772861508</v>
      </c>
      <c r="J141" s="7">
        <f t="shared" si="47"/>
        <v>0.105414749549935</v>
      </c>
      <c r="K141" s="7">
        <f t="shared" si="47"/>
        <v>0.10323006167590573</v>
      </c>
      <c r="L141" s="7">
        <f t="shared" si="47"/>
        <v>0.09584205803514842</v>
      </c>
      <c r="M141" s="7">
        <f t="shared" si="47"/>
        <v>0.07537418255629988</v>
      </c>
    </row>
    <row r="142" spans="1:13" ht="12.75">
      <c r="A142" s="21" t="s">
        <v>55</v>
      </c>
      <c r="B142" s="7">
        <f aca="true" t="shared" si="48" ref="B142:M142">+B106/B$109</f>
        <v>0.1328677847921822</v>
      </c>
      <c r="C142" s="7">
        <f t="shared" si="48"/>
        <v>0.12935230270924977</v>
      </c>
      <c r="D142" s="7">
        <f t="shared" si="48"/>
        <v>0.1395473554861989</v>
      </c>
      <c r="E142" s="7">
        <f t="shared" si="48"/>
        <v>0.16075343384676818</v>
      </c>
      <c r="F142" s="7">
        <f t="shared" si="48"/>
        <v>0.17177898244839587</v>
      </c>
      <c r="G142" s="7">
        <f t="shared" si="48"/>
        <v>0.18232151208892367</v>
      </c>
      <c r="H142" s="7">
        <f t="shared" si="48"/>
        <v>0.18552589385581425</v>
      </c>
      <c r="I142" s="7">
        <f t="shared" si="48"/>
        <v>0.1858570020921686</v>
      </c>
      <c r="J142" s="7">
        <f t="shared" si="48"/>
        <v>0.11328154378322437</v>
      </c>
      <c r="K142" s="7">
        <f t="shared" si="48"/>
        <v>0.03837718814701559</v>
      </c>
      <c r="L142" s="7">
        <f t="shared" si="48"/>
        <v>0.04444389776980141</v>
      </c>
      <c r="M142" s="7">
        <f t="shared" si="48"/>
        <v>0.03772618293484732</v>
      </c>
    </row>
    <row r="143" spans="1:13" ht="12.75">
      <c r="A143" s="21" t="s">
        <v>52</v>
      </c>
      <c r="B143" s="7">
        <f aca="true" t="shared" si="49" ref="B143:M143">+B107/B$109</f>
        <v>0.017231194752354236</v>
      </c>
      <c r="C143" s="7">
        <f t="shared" si="49"/>
        <v>0.017590586763272825</v>
      </c>
      <c r="D143" s="7">
        <f t="shared" si="49"/>
        <v>0.01745398206554681</v>
      </c>
      <c r="E143" s="7">
        <f t="shared" si="49"/>
        <v>0.016699332008785848</v>
      </c>
      <c r="F143" s="7">
        <f t="shared" si="49"/>
        <v>0.015524760874191705</v>
      </c>
      <c r="G143" s="7">
        <f t="shared" si="49"/>
        <v>0.015154245852126724</v>
      </c>
      <c r="H143" s="7">
        <f t="shared" si="49"/>
        <v>0.016047332735220188</v>
      </c>
      <c r="I143" s="7">
        <f t="shared" si="49"/>
        <v>0.01612791622734689</v>
      </c>
      <c r="J143" s="7">
        <f t="shared" si="49"/>
        <v>0.0172693753805872</v>
      </c>
      <c r="K143" s="7">
        <f t="shared" si="49"/>
        <v>0.020286357552438808</v>
      </c>
      <c r="L143" s="7">
        <f t="shared" si="49"/>
        <v>0.020180869226947302</v>
      </c>
      <c r="M143" s="7">
        <f t="shared" si="49"/>
        <v>0.019933855277275158</v>
      </c>
    </row>
    <row r="144" spans="1:13" ht="12.75">
      <c r="A144" s="21" t="s">
        <v>53</v>
      </c>
      <c r="B144" s="60">
        <f aca="true" t="shared" si="50" ref="B144:M144">+B108/B$109</f>
        <v>0.008000184851796766</v>
      </c>
      <c r="C144" s="60">
        <f t="shared" si="50"/>
        <v>0.008737403621560532</v>
      </c>
      <c r="D144" s="60">
        <f t="shared" si="50"/>
        <v>0.009590816087646217</v>
      </c>
      <c r="E144" s="60">
        <f t="shared" si="50"/>
        <v>0.010313180561642531</v>
      </c>
      <c r="F144" s="60">
        <f t="shared" si="50"/>
        <v>0.01160251691966425</v>
      </c>
      <c r="G144" s="60">
        <f t="shared" si="50"/>
        <v>0.011177893507409312</v>
      </c>
      <c r="H144" s="60">
        <f t="shared" si="50"/>
        <v>0.01149933943787424</v>
      </c>
      <c r="I144" s="60">
        <f t="shared" si="50"/>
        <v>0.01183651373524315</v>
      </c>
      <c r="J144" s="60">
        <f t="shared" si="50"/>
        <v>0.013285531671177</v>
      </c>
      <c r="K144" s="60">
        <f t="shared" si="50"/>
        <v>0.01286427394599473</v>
      </c>
      <c r="L144" s="60">
        <f t="shared" si="50"/>
        <v>0.012641281038666522</v>
      </c>
      <c r="M144" s="60">
        <f t="shared" si="50"/>
        <v>0.010873872214488146</v>
      </c>
    </row>
    <row r="145" spans="1:13" ht="12.75">
      <c r="A145" s="21" t="s">
        <v>44</v>
      </c>
      <c r="B145" s="61">
        <f aca="true" t="shared" si="51" ref="B145:M145">SUM(B135:B144)</f>
        <v>1</v>
      </c>
      <c r="C145" s="61">
        <f t="shared" si="51"/>
        <v>0.9999999999999999</v>
      </c>
      <c r="D145" s="61">
        <f t="shared" si="51"/>
        <v>1</v>
      </c>
      <c r="E145" s="61">
        <f t="shared" si="51"/>
        <v>1.0000000000000004</v>
      </c>
      <c r="F145" s="61">
        <f t="shared" si="51"/>
        <v>0.9999999999999999</v>
      </c>
      <c r="G145" s="61">
        <f t="shared" si="51"/>
        <v>1.0000000000000002</v>
      </c>
      <c r="H145" s="61">
        <f t="shared" si="51"/>
        <v>1</v>
      </c>
      <c r="I145" s="61">
        <f t="shared" si="51"/>
        <v>1</v>
      </c>
      <c r="J145" s="61">
        <f t="shared" si="51"/>
        <v>0.9999999999999999</v>
      </c>
      <c r="K145" s="61">
        <f t="shared" si="51"/>
        <v>0.9999999999999999</v>
      </c>
      <c r="L145" s="61">
        <f t="shared" si="51"/>
        <v>1.0000000000000002</v>
      </c>
      <c r="M145" s="61">
        <f t="shared" si="51"/>
        <v>1.0000000000000002</v>
      </c>
    </row>
    <row r="146" ht="12.75">
      <c r="A146" s="20" t="s">
        <v>96</v>
      </c>
    </row>
    <row r="147" ht="12.75">
      <c r="A147" s="62" t="s">
        <v>74</v>
      </c>
    </row>
    <row r="148" spans="1:13" ht="12.75">
      <c r="A148" s="62" t="s">
        <v>162</v>
      </c>
      <c r="B148" s="7">
        <f>+B113/(B$109+B$113+B$114)</f>
        <v>0.012608307310342967</v>
      </c>
      <c r="C148" s="7">
        <f aca="true" t="shared" si="52" ref="C148:M148">+C113/(C$109+C$113+C$114)</f>
        <v>0.01095647710085615</v>
      </c>
      <c r="D148" s="7">
        <f t="shared" si="52"/>
        <v>0.013312815304933471</v>
      </c>
      <c r="E148" s="7">
        <f t="shared" si="52"/>
        <v>0.014706411227851504</v>
      </c>
      <c r="F148" s="7">
        <f t="shared" si="52"/>
        <v>0.01624076456154065</v>
      </c>
      <c r="G148" s="7">
        <f t="shared" si="52"/>
        <v>0.016646704933572617</v>
      </c>
      <c r="H148" s="7">
        <f t="shared" si="52"/>
        <v>0.017517692287797582</v>
      </c>
      <c r="I148" s="7">
        <f t="shared" si="52"/>
        <v>0.017548407498978104</v>
      </c>
      <c r="J148" s="7">
        <f t="shared" si="52"/>
        <v>0.018134957363891563</v>
      </c>
      <c r="K148" s="7">
        <f t="shared" si="52"/>
        <v>0.019649692620779636</v>
      </c>
      <c r="L148" s="7">
        <f t="shared" si="52"/>
        <v>0.01683087101351982</v>
      </c>
      <c r="M148" s="7">
        <f t="shared" si="52"/>
        <v>0.014818093934487107</v>
      </c>
    </row>
    <row r="149" spans="1:13" ht="12.75">
      <c r="A149" s="62" t="s">
        <v>163</v>
      </c>
      <c r="B149" s="7">
        <f>+B114/(B$109+B$113+B$114)</f>
        <v>0</v>
      </c>
      <c r="C149" s="7">
        <f aca="true" t="shared" si="53" ref="C149:M149">+C114/(C$109+C$113+C$114)</f>
        <v>0</v>
      </c>
      <c r="D149" s="7">
        <f t="shared" si="53"/>
        <v>0</v>
      </c>
      <c r="E149" s="7">
        <f t="shared" si="53"/>
        <v>0</v>
      </c>
      <c r="F149" s="7">
        <f t="shared" si="53"/>
        <v>0</v>
      </c>
      <c r="G149" s="7">
        <f t="shared" si="53"/>
        <v>0</v>
      </c>
      <c r="H149" s="7">
        <f t="shared" si="53"/>
        <v>0</v>
      </c>
      <c r="I149" s="7">
        <f t="shared" si="53"/>
        <v>0</v>
      </c>
      <c r="J149" s="7">
        <f t="shared" si="53"/>
        <v>0</v>
      </c>
      <c r="K149" s="7">
        <f t="shared" si="53"/>
        <v>0</v>
      </c>
      <c r="L149" s="7">
        <f t="shared" si="53"/>
        <v>0</v>
      </c>
      <c r="M149" s="7">
        <f t="shared" si="53"/>
        <v>0</v>
      </c>
    </row>
  </sheetData>
  <sheetProtection/>
  <printOptions/>
  <pageMargins left="0.7" right="0.7" top="0.75" bottom="0.75" header="0.3" footer="0.3"/>
  <pageSetup fitToHeight="2" horizontalDpi="600" verticalDpi="600" orientation="landscape" paperSize="17" scale="66" r:id="rId1"/>
  <rowBreaks count="1" manualBreakCount="1">
    <brk id="7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view="pageBreakPreview" zoomScale="60" zoomScaleNormal="85" zoomScalePageLayoutView="0" workbookViewId="0" topLeftCell="A1">
      <pane xSplit="1" ySplit="1" topLeftCell="B26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E21" sqref="E21"/>
    </sheetView>
  </sheetViews>
  <sheetFormatPr defaultColWidth="9.140625" defaultRowHeight="12.75"/>
  <cols>
    <col min="1" max="1" width="28.28125" style="3" customWidth="1"/>
    <col min="2" max="2" width="17.7109375" style="3" bestFit="1" customWidth="1"/>
    <col min="3" max="3" width="18.00390625" style="3" bestFit="1" customWidth="1"/>
    <col min="4" max="4" width="17.57421875" style="3" bestFit="1" customWidth="1"/>
    <col min="5" max="5" width="17.00390625" style="3" bestFit="1" customWidth="1"/>
    <col min="6" max="6" width="15.57421875" style="3" bestFit="1" customWidth="1"/>
    <col min="7" max="10" width="15.8515625" style="3" bestFit="1" customWidth="1"/>
    <col min="11" max="11" width="15.57421875" style="3" bestFit="1" customWidth="1"/>
    <col min="12" max="13" width="17.57421875" style="3" bestFit="1" customWidth="1"/>
    <col min="14" max="14" width="18.7109375" style="3" bestFit="1" customWidth="1"/>
    <col min="15" max="15" width="13.8515625" style="3" bestFit="1" customWidth="1"/>
    <col min="16" max="16384" width="9.140625" style="3" customWidth="1"/>
  </cols>
  <sheetData>
    <row r="1" spans="1:14" ht="12.75">
      <c r="A1" s="52" t="s">
        <v>7</v>
      </c>
      <c r="B1" s="53">
        <v>40909</v>
      </c>
      <c r="C1" s="53">
        <v>40940</v>
      </c>
      <c r="D1" s="53">
        <v>40969</v>
      </c>
      <c r="E1" s="53">
        <v>41000</v>
      </c>
      <c r="F1" s="53">
        <v>41030</v>
      </c>
      <c r="G1" s="53">
        <v>41061</v>
      </c>
      <c r="H1" s="53">
        <v>41091</v>
      </c>
      <c r="I1" s="53">
        <v>41122</v>
      </c>
      <c r="J1" s="53">
        <v>41153</v>
      </c>
      <c r="K1" s="53">
        <v>41183</v>
      </c>
      <c r="L1" s="53">
        <v>41214</v>
      </c>
      <c r="M1" s="53">
        <v>41244</v>
      </c>
      <c r="N1" s="164" t="s">
        <v>309</v>
      </c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>
      <c r="A3" s="149" t="s">
        <v>181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0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93</v>
      </c>
      <c r="B5" s="54">
        <f>'Data Inputs - 2012'!B4</f>
        <v>499163301.3184339</v>
      </c>
      <c r="C5" s="54">
        <f>'Data Inputs - 2012'!C4</f>
        <v>433816150.07748866</v>
      </c>
      <c r="D5" s="54">
        <f>'Data Inputs - 2012'!D4</f>
        <v>434893043.9262909</v>
      </c>
      <c r="E5" s="54">
        <f>'Data Inputs - 2012'!E4</f>
        <v>347393103.22798294</v>
      </c>
      <c r="F5" s="54">
        <f>'Data Inputs - 2012'!F4</f>
        <v>315034794.5680765</v>
      </c>
      <c r="G5" s="54">
        <f>'Data Inputs - 2012'!G4</f>
        <v>261044221.94733205</v>
      </c>
      <c r="H5" s="54">
        <f>'Data Inputs - 2012'!H4</f>
        <v>263864324.72612455</v>
      </c>
      <c r="I5" s="54">
        <f>'Data Inputs - 2012'!I4</f>
        <v>258875424.0124441</v>
      </c>
      <c r="J5" s="54">
        <f>'Data Inputs - 2012'!J4</f>
        <v>258342178.87723064</v>
      </c>
      <c r="K5" s="54">
        <f>'Data Inputs - 2012'!K4</f>
        <v>295220942.57098216</v>
      </c>
      <c r="L5" s="54">
        <f>'Data Inputs - 2012'!L4</f>
        <v>341060150.28075904</v>
      </c>
      <c r="M5" s="54">
        <f>'Data Inputs - 2012'!M4</f>
        <v>445876337.59579873</v>
      </c>
      <c r="N5" s="150">
        <f aca="true" t="shared" si="0" ref="N5:N16">SUM(B5:M5)</f>
        <v>4154583973.1289434</v>
      </c>
    </row>
    <row r="6" spans="1:14" ht="12.75">
      <c r="A6" s="11" t="s">
        <v>94</v>
      </c>
      <c r="B6" s="54">
        <f>'Data Inputs - 2012'!B5</f>
        <v>30792208.67215784</v>
      </c>
      <c r="C6" s="54">
        <f>'Data Inputs - 2012'!C5</f>
        <v>25983733.442053027</v>
      </c>
      <c r="D6" s="54">
        <f>'Data Inputs - 2012'!D5</f>
        <v>25494426.316768616</v>
      </c>
      <c r="E6" s="54">
        <f>'Data Inputs - 2012'!E5</f>
        <v>20691133.70630938</v>
      </c>
      <c r="F6" s="54">
        <f>'Data Inputs - 2012'!F5</f>
        <v>15601414.235470291</v>
      </c>
      <c r="G6" s="54">
        <f>'Data Inputs - 2012'!G5</f>
        <v>9875887.733646277</v>
      </c>
      <c r="H6" s="54">
        <f>'Data Inputs - 2012'!H5</f>
        <v>8538975.576872598</v>
      </c>
      <c r="I6" s="54">
        <f>'Data Inputs - 2012'!I5</f>
        <v>7935624.797547605</v>
      </c>
      <c r="J6" s="54">
        <f>'Data Inputs - 2012'!J5</f>
        <v>8849148.609374203</v>
      </c>
      <c r="K6" s="54">
        <f>'Data Inputs - 2012'!K5</f>
        <v>12456825.980610264</v>
      </c>
      <c r="L6" s="54">
        <f>'Data Inputs - 2012'!L5</f>
        <v>18965498.22830268</v>
      </c>
      <c r="M6" s="54">
        <f>'Data Inputs - 2012'!M5</f>
        <v>32769017.20642105</v>
      </c>
      <c r="N6" s="57">
        <f t="shared" si="0"/>
        <v>217953894.5055338</v>
      </c>
    </row>
    <row r="7" spans="1:14" ht="12.75">
      <c r="A7" s="11" t="s">
        <v>95</v>
      </c>
      <c r="B7" s="54">
        <f>'Data Inputs - 2012'!B6</f>
        <v>529955509.9905917</v>
      </c>
      <c r="C7" s="54">
        <f>'Data Inputs - 2012'!C6</f>
        <v>459799883.5195417</v>
      </c>
      <c r="D7" s="54">
        <f>'Data Inputs - 2012'!D6</f>
        <v>460387470.2430595</v>
      </c>
      <c r="E7" s="54">
        <f>'Data Inputs - 2012'!E6</f>
        <v>368084236.9342923</v>
      </c>
      <c r="F7" s="54">
        <f>'Data Inputs - 2012'!F6</f>
        <v>330636208.8035468</v>
      </c>
      <c r="G7" s="54">
        <f>'Data Inputs - 2012'!G6</f>
        <v>270920109.68097836</v>
      </c>
      <c r="H7" s="54">
        <f>'Data Inputs - 2012'!H6</f>
        <v>272403300.3029972</v>
      </c>
      <c r="I7" s="54">
        <f>'Data Inputs - 2012'!I6</f>
        <v>266811048.80999172</v>
      </c>
      <c r="J7" s="54">
        <f>'Data Inputs - 2012'!J6</f>
        <v>267191327.48660484</v>
      </c>
      <c r="K7" s="54">
        <f>'Data Inputs - 2012'!K6</f>
        <v>307677768.5515924</v>
      </c>
      <c r="L7" s="54">
        <f>'Data Inputs - 2012'!L6</f>
        <v>360025648.5090617</v>
      </c>
      <c r="M7" s="54">
        <f>'Data Inputs - 2012'!M6</f>
        <v>478645354.8022198</v>
      </c>
      <c r="N7" s="150">
        <f t="shared" si="0"/>
        <v>4372537867.634478</v>
      </c>
    </row>
    <row r="8" spans="1:14" ht="12.75">
      <c r="A8" s="11" t="s">
        <v>46</v>
      </c>
      <c r="B8" s="54">
        <f>'Data Inputs - 2012'!B7</f>
        <v>24058154.845294427</v>
      </c>
      <c r="C8" s="54">
        <f>'Data Inputs - 2012'!C7</f>
        <v>22094774.36181779</v>
      </c>
      <c r="D8" s="54">
        <f>'Data Inputs - 2012'!D7</f>
        <v>21160188.008371253</v>
      </c>
      <c r="E8" s="54">
        <f>'Data Inputs - 2012'!E7</f>
        <v>17946423.39572243</v>
      </c>
      <c r="F8" s="54">
        <f>'Data Inputs - 2012'!F7</f>
        <v>16444737.747166073</v>
      </c>
      <c r="G8" s="54">
        <f>'Data Inputs - 2012'!G7</f>
        <v>15659988.17654896</v>
      </c>
      <c r="H8" s="54">
        <f>'Data Inputs - 2012'!H7</f>
        <v>16138743.280104283</v>
      </c>
      <c r="I8" s="54">
        <f>'Data Inputs - 2012'!I7</f>
        <v>16246669.973139472</v>
      </c>
      <c r="J8" s="54">
        <f>'Data Inputs - 2012'!J7</f>
        <v>14709451.20135866</v>
      </c>
      <c r="K8" s="54">
        <f>'Data Inputs - 2012'!K7</f>
        <v>16405657.494972058</v>
      </c>
      <c r="L8" s="54">
        <f>'Data Inputs - 2012'!L7</f>
        <v>17173386.48989336</v>
      </c>
      <c r="M8" s="54">
        <f>'Data Inputs - 2012'!M7</f>
        <v>21449297.87947748</v>
      </c>
      <c r="N8" s="150">
        <f t="shared" si="0"/>
        <v>219487472.8538662</v>
      </c>
    </row>
    <row r="9" spans="1:14" ht="12.75">
      <c r="A9" s="11" t="s">
        <v>47</v>
      </c>
      <c r="B9" s="54">
        <f>'Data Inputs - 2012'!B8</f>
        <v>243205955.10071665</v>
      </c>
      <c r="C9" s="54">
        <f>'Data Inputs - 2012'!C8</f>
        <v>228102250.4066153</v>
      </c>
      <c r="D9" s="54">
        <f>'Data Inputs - 2012'!D8</f>
        <v>234588784.33955202</v>
      </c>
      <c r="E9" s="54">
        <f>'Data Inputs - 2012'!E8</f>
        <v>202976381.90185183</v>
      </c>
      <c r="F9" s="54">
        <f>'Data Inputs - 2012'!F8</f>
        <v>191339552.3801025</v>
      </c>
      <c r="G9" s="54">
        <f>'Data Inputs - 2012'!G8</f>
        <v>193482797.9723198</v>
      </c>
      <c r="H9" s="54">
        <f>'Data Inputs - 2012'!H8</f>
        <v>209260031.25709492</v>
      </c>
      <c r="I9" s="54">
        <f>'Data Inputs - 2012'!I8</f>
        <v>203474422.03263745</v>
      </c>
      <c r="J9" s="54">
        <f>'Data Inputs - 2012'!J8</f>
        <v>188749284.15007237</v>
      </c>
      <c r="K9" s="54">
        <f>'Data Inputs - 2012'!K8</f>
        <v>197408094.62984383</v>
      </c>
      <c r="L9" s="54">
        <f>'Data Inputs - 2012'!L8</f>
        <v>206245424.37864938</v>
      </c>
      <c r="M9" s="54">
        <f>'Data Inputs - 2012'!M8</f>
        <v>235174192.28696376</v>
      </c>
      <c r="N9" s="150">
        <f t="shared" si="0"/>
        <v>2534007170.8364196</v>
      </c>
    </row>
    <row r="10" spans="1:14" ht="12.75">
      <c r="A10" s="11" t="s">
        <v>48</v>
      </c>
      <c r="B10" s="54">
        <f>'Data Inputs - 2012'!B9</f>
        <v>33625608.09432742</v>
      </c>
      <c r="C10" s="54">
        <f>'Data Inputs - 2012'!C9</f>
        <v>30826580.81628773</v>
      </c>
      <c r="D10" s="54">
        <f>'Data Inputs - 2012'!D9</f>
        <v>33284416.830675602</v>
      </c>
      <c r="E10" s="54">
        <f>'Data Inputs - 2012'!E9</f>
        <v>30577140.214623153</v>
      </c>
      <c r="F10" s="54">
        <f>'Data Inputs - 2012'!F9</f>
        <v>30579815.99859363</v>
      </c>
      <c r="G10" s="54">
        <f>'Data Inputs - 2012'!G9</f>
        <v>32043700.289774623</v>
      </c>
      <c r="H10" s="54">
        <f>'Data Inputs - 2012'!H9</f>
        <v>36863861.123304866</v>
      </c>
      <c r="I10" s="54">
        <f>'Data Inputs - 2012'!I9</f>
        <v>36370413.69035967</v>
      </c>
      <c r="J10" s="54">
        <f>'Data Inputs - 2012'!J9</f>
        <v>33808763.759771176</v>
      </c>
      <c r="K10" s="54">
        <f>'Data Inputs - 2012'!K9</f>
        <v>32195654.21732054</v>
      </c>
      <c r="L10" s="54">
        <f>'Data Inputs - 2012'!L9</f>
        <v>31820043.285665907</v>
      </c>
      <c r="M10" s="54">
        <f>'Data Inputs - 2012'!M9</f>
        <v>32355293.585801065</v>
      </c>
      <c r="N10" s="150">
        <f t="shared" si="0"/>
        <v>394351291.9065054</v>
      </c>
    </row>
    <row r="11" spans="1:14" ht="12.75">
      <c r="A11" s="11" t="s">
        <v>49</v>
      </c>
      <c r="B11" s="54">
        <f>'Data Inputs - 2012'!B10</f>
        <v>22882334.648170777</v>
      </c>
      <c r="C11" s="54">
        <f>'Data Inputs - 2012'!C10</f>
        <v>21937063.54647495</v>
      </c>
      <c r="D11" s="54">
        <f>'Data Inputs - 2012'!D10</f>
        <v>22002210.118915882</v>
      </c>
      <c r="E11" s="54">
        <f>'Data Inputs - 2012'!E10</f>
        <v>20991044.777444426</v>
      </c>
      <c r="F11" s="54">
        <f>'Data Inputs - 2012'!F10</f>
        <v>21156517.936960444</v>
      </c>
      <c r="G11" s="54">
        <f>'Data Inputs - 2012'!G10</f>
        <v>22086013.10299823</v>
      </c>
      <c r="H11" s="54">
        <f>'Data Inputs - 2012'!H10</f>
        <v>22450831.91863234</v>
      </c>
      <c r="I11" s="54">
        <f>'Data Inputs - 2012'!I10</f>
        <v>22408630.745059546</v>
      </c>
      <c r="J11" s="54">
        <f>'Data Inputs - 2012'!J10</f>
        <v>20946371.614289336</v>
      </c>
      <c r="K11" s="54">
        <f>'Data Inputs - 2012'!K10</f>
        <v>19291699.207396273</v>
      </c>
      <c r="L11" s="54">
        <f>'Data Inputs - 2012'!L10</f>
        <v>21159327.513763577</v>
      </c>
      <c r="M11" s="54">
        <f>'Data Inputs - 2012'!M10</f>
        <v>24538117.59419102</v>
      </c>
      <c r="N11" s="150">
        <f t="shared" si="0"/>
        <v>261850162.72429678</v>
      </c>
    </row>
    <row r="12" spans="1:14" ht="12.75">
      <c r="A12" s="11" t="s">
        <v>50</v>
      </c>
      <c r="B12" s="54">
        <f>'Data Inputs - 2012'!B11</f>
        <v>44144421.004735865</v>
      </c>
      <c r="C12" s="54">
        <f>'Data Inputs - 2012'!C11</f>
        <v>39831763.78971534</v>
      </c>
      <c r="D12" s="54">
        <f>'Data Inputs - 2012'!D11</f>
        <v>42507306.38681646</v>
      </c>
      <c r="E12" s="54">
        <f>'Data Inputs - 2012'!E11</f>
        <v>42360011.69169449</v>
      </c>
      <c r="F12" s="54">
        <f>'Data Inputs - 2012'!F11</f>
        <v>41856357.27321426</v>
      </c>
      <c r="G12" s="54">
        <f>'Data Inputs - 2012'!G11</f>
        <v>43819054.069839105</v>
      </c>
      <c r="H12" s="54">
        <f>'Data Inputs - 2012'!H11</f>
        <v>43778788.14294194</v>
      </c>
      <c r="I12" s="54">
        <f>'Data Inputs - 2012'!I11</f>
        <v>43826091.70166588</v>
      </c>
      <c r="J12" s="54">
        <f>'Data Inputs - 2012'!J11</f>
        <v>42686817.48231351</v>
      </c>
      <c r="K12" s="54">
        <f>'Data Inputs - 2012'!K11</f>
        <v>43041742.95740857</v>
      </c>
      <c r="L12" s="54">
        <f>'Data Inputs - 2012'!L11</f>
        <v>42152101.93640309</v>
      </c>
      <c r="M12" s="54">
        <f>'Data Inputs - 2012'!M11</f>
        <v>42939457.02347003</v>
      </c>
      <c r="N12" s="150">
        <f t="shared" si="0"/>
        <v>512943913.46021855</v>
      </c>
    </row>
    <row r="13" spans="1:14" ht="12.75">
      <c r="A13" s="11" t="s">
        <v>51</v>
      </c>
      <c r="B13" s="54">
        <f>'Data Inputs - 2012'!B12</f>
        <v>75703038.55650288</v>
      </c>
      <c r="C13" s="54">
        <f>'Data Inputs - 2012'!C12</f>
        <v>68601236.24047384</v>
      </c>
      <c r="D13" s="54">
        <f>'Data Inputs - 2012'!D12</f>
        <v>75839465.45417616</v>
      </c>
      <c r="E13" s="54">
        <f>'Data Inputs - 2012'!E12</f>
        <v>74997597.00112964</v>
      </c>
      <c r="F13" s="54">
        <f>'Data Inputs - 2012'!F12</f>
        <v>77472134.77506858</v>
      </c>
      <c r="G13" s="54">
        <f>'Data Inputs - 2012'!G12</f>
        <v>76701739.49801955</v>
      </c>
      <c r="H13" s="54">
        <f>'Data Inputs - 2012'!H12</f>
        <v>78206345.13655725</v>
      </c>
      <c r="I13" s="54">
        <f>'Data Inputs - 2012'!I12</f>
        <v>87481418.99747546</v>
      </c>
      <c r="J13" s="54">
        <f>'Data Inputs - 2012'!J12</f>
        <v>81358107.12925717</v>
      </c>
      <c r="K13" s="54">
        <f>'Data Inputs - 2012'!K12</f>
        <v>81777039.33301765</v>
      </c>
      <c r="L13" s="54">
        <f>'Data Inputs - 2012'!L12</f>
        <v>79203168.02242666</v>
      </c>
      <c r="M13" s="54">
        <f>'Data Inputs - 2012'!M12</f>
        <v>75302947.27839562</v>
      </c>
      <c r="N13" s="150">
        <f t="shared" si="0"/>
        <v>932644237.4225004</v>
      </c>
    </row>
    <row r="14" spans="1:14" ht="12.75">
      <c r="A14" s="11" t="s">
        <v>155</v>
      </c>
      <c r="B14" s="54">
        <f>'Data Inputs - 2012'!B13</f>
        <v>153671712</v>
      </c>
      <c r="C14" s="54">
        <f>'Data Inputs - 2012'!C13</f>
        <v>143757408</v>
      </c>
      <c r="D14" s="54">
        <f>'Data Inputs - 2012'!D13</f>
        <v>153671712</v>
      </c>
      <c r="E14" s="54">
        <f>'Data Inputs - 2012'!E13</f>
        <v>148714560</v>
      </c>
      <c r="F14" s="54">
        <f>'Data Inputs - 2012'!F13</f>
        <v>153671712</v>
      </c>
      <c r="G14" s="54">
        <f>'Data Inputs - 2012'!G13</f>
        <v>148714560</v>
      </c>
      <c r="H14" s="54">
        <f>'Data Inputs - 2012'!H13</f>
        <v>153671712</v>
      </c>
      <c r="I14" s="54">
        <f>'Data Inputs - 2012'!I13</f>
        <v>153671712</v>
      </c>
      <c r="J14" s="54">
        <f>'Data Inputs - 2012'!J13</f>
        <v>148714560</v>
      </c>
      <c r="K14" s="54">
        <f>'Data Inputs - 2012'!K13</f>
        <v>153671712</v>
      </c>
      <c r="L14" s="54">
        <f>'Data Inputs - 2012'!L13</f>
        <v>148714560</v>
      </c>
      <c r="M14" s="54">
        <f>'Data Inputs - 2012'!M13</f>
        <v>153671712</v>
      </c>
      <c r="N14" s="150">
        <f>SUM(B14:M14)</f>
        <v>1814317632</v>
      </c>
    </row>
    <row r="15" spans="1:14" ht="12.75">
      <c r="A15" s="11" t="s">
        <v>52</v>
      </c>
      <c r="B15" s="54">
        <f>'Data Inputs - 2012'!B14</f>
        <v>20909021.32042029</v>
      </c>
      <c r="C15" s="54">
        <f>'Data Inputs - 2012'!C14</f>
        <v>19129220.002874926</v>
      </c>
      <c r="D15" s="54">
        <f>'Data Inputs - 2012'!D14</f>
        <v>18619713.372918814</v>
      </c>
      <c r="E15" s="54">
        <f>'Data Inputs - 2012'!E14</f>
        <v>15454118.849571884</v>
      </c>
      <c r="F15" s="54">
        <f>'Data Inputs - 2012'!F14</f>
        <v>14136731.555427391</v>
      </c>
      <c r="G15" s="54">
        <f>'Data Inputs - 2012'!G14</f>
        <v>13400646.457222233</v>
      </c>
      <c r="H15" s="54">
        <f>'Data Inputs - 2012'!H14</f>
        <v>14718677.92978346</v>
      </c>
      <c r="I15" s="54">
        <f>'Data Inputs - 2012'!I14</f>
        <v>14519719.893402142</v>
      </c>
      <c r="J15" s="54">
        <f>'Data Inputs - 2012'!J14</f>
        <v>14198333.635772206</v>
      </c>
      <c r="K15" s="54">
        <f>'Data Inputs - 2012'!K14</f>
        <v>15252395.376415223</v>
      </c>
      <c r="L15" s="54">
        <f>'Data Inputs - 2012'!L14</f>
        <v>16990470.66396168</v>
      </c>
      <c r="M15" s="54">
        <f>'Data Inputs - 2012'!M14</f>
        <v>20039214.640238285</v>
      </c>
      <c r="N15" s="150">
        <f t="shared" si="0"/>
        <v>197368263.69800854</v>
      </c>
    </row>
    <row r="16" spans="1:14" ht="12.75">
      <c r="A16" s="11" t="s">
        <v>53</v>
      </c>
      <c r="B16" s="54">
        <f>'Data Inputs - 2012'!B15</f>
        <v>9721223.70921977</v>
      </c>
      <c r="C16" s="54">
        <f>'Data Inputs - 2012'!C15</f>
        <v>9257728.574004222</v>
      </c>
      <c r="D16" s="54">
        <f>'Data Inputs - 2012'!D15</f>
        <v>9705211.018701112</v>
      </c>
      <c r="E16" s="54">
        <f>'Data Inputs - 2012'!E15</f>
        <v>9363232.250861643</v>
      </c>
      <c r="F16" s="54">
        <f>'Data Inputs - 2012'!F15</f>
        <v>9921163.43997261</v>
      </c>
      <c r="G16" s="54">
        <f>'Data Inputs - 2012'!G15</f>
        <v>9443188.210259667</v>
      </c>
      <c r="H16" s="54">
        <f>'Data Inputs - 2012'!H15</f>
        <v>9281947.485614162</v>
      </c>
      <c r="I16" s="54">
        <f>'Data Inputs - 2012'!I15</f>
        <v>9623606.007687492</v>
      </c>
      <c r="J16" s="54">
        <f>'Data Inputs - 2012'!J15</f>
        <v>9720858.139667949</v>
      </c>
      <c r="K16" s="54">
        <f>'Data Inputs - 2012'!K15</f>
        <v>9488896.813551757</v>
      </c>
      <c r="L16" s="54">
        <f>'Data Inputs - 2012'!L15</f>
        <v>10074885.398105921</v>
      </c>
      <c r="M16" s="54">
        <f>'Data Inputs - 2012'!M15</f>
        <v>10138028.464426681</v>
      </c>
      <c r="N16" s="57">
        <f t="shared" si="0"/>
        <v>115739969.51207298</v>
      </c>
    </row>
    <row r="17" spans="1:14" ht="12.75">
      <c r="A17" s="10" t="s">
        <v>56</v>
      </c>
      <c r="B17" s="81">
        <f aca="true" t="shared" si="1" ref="B17:M17">SUM(B7:B16)</f>
        <v>1157876979.2699797</v>
      </c>
      <c r="C17" s="81">
        <f t="shared" si="1"/>
        <v>1043337909.2578057</v>
      </c>
      <c r="D17" s="81">
        <f t="shared" si="1"/>
        <v>1071766477.7731869</v>
      </c>
      <c r="E17" s="81">
        <f t="shared" si="1"/>
        <v>931464747.0171919</v>
      </c>
      <c r="F17" s="81">
        <f t="shared" si="1"/>
        <v>887214931.9100524</v>
      </c>
      <c r="G17" s="81">
        <f t="shared" si="1"/>
        <v>826271797.4579605</v>
      </c>
      <c r="H17" s="81">
        <f t="shared" si="1"/>
        <v>856774238.5770304</v>
      </c>
      <c r="I17" s="81">
        <f t="shared" si="1"/>
        <v>854433733.8514187</v>
      </c>
      <c r="J17" s="81">
        <f t="shared" si="1"/>
        <v>822083874.5991073</v>
      </c>
      <c r="K17" s="81">
        <f t="shared" si="1"/>
        <v>876210660.5815183</v>
      </c>
      <c r="L17" s="81">
        <f t="shared" si="1"/>
        <v>933559016.1979312</v>
      </c>
      <c r="M17" s="81">
        <f t="shared" si="1"/>
        <v>1094253615.5551841</v>
      </c>
      <c r="N17" s="81">
        <f>SUM(B17:M17)</f>
        <v>11355247982.048365</v>
      </c>
    </row>
    <row r="18" spans="1:14" ht="12.75">
      <c r="A18" s="1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12.75">
      <c r="A19" s="322" t="s">
        <v>96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ht="12.75">
      <c r="A20" s="323" t="s">
        <v>74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4" ht="12.75">
      <c r="A21" s="323" t="s">
        <v>162</v>
      </c>
      <c r="B21" s="150">
        <f>'Data Inputs - 2012'!B19</f>
        <v>15498000</v>
      </c>
      <c r="C21" s="150">
        <f>'Data Inputs - 2012'!C19</f>
        <v>13482000</v>
      </c>
      <c r="D21" s="150">
        <f>'Data Inputs - 2012'!D19</f>
        <v>15498000</v>
      </c>
      <c r="E21" s="150">
        <f>'Data Inputs - 2012'!E19</f>
        <v>14490000</v>
      </c>
      <c r="F21" s="150">
        <f>'Data Inputs - 2012'!F19</f>
        <v>15498000</v>
      </c>
      <c r="G21" s="150">
        <f>'Data Inputs - 2012'!G19</f>
        <v>14490000</v>
      </c>
      <c r="H21" s="150">
        <f>'Data Inputs - 2012'!H19</f>
        <v>15498000</v>
      </c>
      <c r="I21" s="150">
        <f>'Data Inputs - 2012'!I19</f>
        <v>15498000</v>
      </c>
      <c r="J21" s="150">
        <f>'Data Inputs - 2012'!J19</f>
        <v>14490000</v>
      </c>
      <c r="K21" s="150">
        <f>'Data Inputs - 2012'!K19</f>
        <v>15498000</v>
      </c>
      <c r="L21" s="150">
        <f>'Data Inputs - 2012'!L19</f>
        <v>14490000</v>
      </c>
      <c r="M21" s="150">
        <f>'Data Inputs - 2012'!M19</f>
        <v>15498000</v>
      </c>
      <c r="N21" s="150">
        <f>SUM(B21:M21)</f>
        <v>179928000</v>
      </c>
    </row>
    <row r="22" spans="1:14" ht="12.75">
      <c r="A22" s="324" t="s">
        <v>163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f>SUM(B22:M22)</f>
        <v>0</v>
      </c>
    </row>
    <row r="23" spans="1:14" ht="12.75">
      <c r="A23" s="1" t="s">
        <v>31</v>
      </c>
      <c r="B23" s="150">
        <f>'Data Inputs - 2012'!B20</f>
        <v>8578872</v>
      </c>
      <c r="C23" s="150">
        <f>'Data Inputs - 2012'!C20</f>
        <v>8320560</v>
      </c>
      <c r="D23" s="150">
        <f>'Data Inputs - 2012'!D20</f>
        <v>7626965.949999999</v>
      </c>
      <c r="E23" s="150">
        <f>'Data Inputs - 2012'!E20</f>
        <v>8805992</v>
      </c>
      <c r="F23" s="150">
        <f>'Data Inputs - 2012'!F20</f>
        <v>8030528.999999999</v>
      </c>
      <c r="G23" s="150">
        <f>'Data Inputs - 2012'!G20</f>
        <v>7920793.049999999</v>
      </c>
      <c r="H23" s="150">
        <f>'Data Inputs - 2012'!H20</f>
        <v>9180143</v>
      </c>
      <c r="I23" s="150">
        <f>'Data Inputs - 2012'!I20</f>
        <v>10422773</v>
      </c>
      <c r="J23" s="150">
        <f>'Data Inputs - 2012'!J20</f>
        <v>14026206</v>
      </c>
      <c r="K23" s="150">
        <f>'Data Inputs - 2012'!K20</f>
        <v>9055569.649999999</v>
      </c>
      <c r="L23" s="150">
        <f>'Data Inputs - 2012'!L20</f>
        <v>8653936.41</v>
      </c>
      <c r="M23" s="150">
        <f>'Data Inputs - 2012'!M20</f>
        <v>7789142.999999999</v>
      </c>
      <c r="N23" s="150">
        <f>SUM(B23:M23)</f>
        <v>108411483.06</v>
      </c>
    </row>
    <row r="24" spans="1:14" ht="12.75">
      <c r="A24" s="1" t="s">
        <v>282</v>
      </c>
      <c r="B24" s="150">
        <f>'Data Inputs - 2012'!B21</f>
        <v>15750000</v>
      </c>
      <c r="C24" s="150">
        <f>'Data Inputs - 2012'!C21</f>
        <v>15750000</v>
      </c>
      <c r="D24" s="150">
        <f>'Data Inputs - 2012'!D21</f>
        <v>15750000</v>
      </c>
      <c r="E24" s="150">
        <f>'Data Inputs - 2012'!E21</f>
        <v>15750000</v>
      </c>
      <c r="F24" s="150">
        <f>'Data Inputs - 2012'!F21</f>
        <v>15750000</v>
      </c>
      <c r="G24" s="150">
        <f>'Data Inputs - 2012'!G21</f>
        <v>15750000</v>
      </c>
      <c r="H24" s="150">
        <f>'Data Inputs - 2012'!H21</f>
        <v>15750000</v>
      </c>
      <c r="I24" s="150">
        <f>'Data Inputs - 2012'!I21</f>
        <v>15750000</v>
      </c>
      <c r="J24" s="150">
        <f>'Data Inputs - 2012'!J21</f>
        <v>15750000</v>
      </c>
      <c r="K24" s="150">
        <f>'Data Inputs - 2012'!K21</f>
        <v>15750000</v>
      </c>
      <c r="L24" s="150">
        <f>'Data Inputs - 2012'!L21</f>
        <v>15750000</v>
      </c>
      <c r="M24" s="150">
        <f>'Data Inputs - 2012'!M21</f>
        <v>15750000</v>
      </c>
      <c r="N24" s="150">
        <f>SUM(B24:M24)</f>
        <v>189000000</v>
      </c>
    </row>
    <row r="25" spans="1:14" ht="12.75">
      <c r="A25" s="326" t="s">
        <v>134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150">
        <f>SUM(B25:M25)</f>
        <v>0</v>
      </c>
    </row>
    <row r="26" spans="1:14" ht="12.75">
      <c r="A26" s="2" t="s">
        <v>99</v>
      </c>
      <c r="B26" s="81">
        <f>SUM(B21:B25)</f>
        <v>39826872</v>
      </c>
      <c r="C26" s="81">
        <f aca="true" t="shared" si="2" ref="C26:N26">SUM(C21:C25)</f>
        <v>37552560</v>
      </c>
      <c r="D26" s="81">
        <f t="shared" si="2"/>
        <v>38874965.95</v>
      </c>
      <c r="E26" s="81">
        <f t="shared" si="2"/>
        <v>39045992</v>
      </c>
      <c r="F26" s="81">
        <f t="shared" si="2"/>
        <v>39278529</v>
      </c>
      <c r="G26" s="81">
        <f t="shared" si="2"/>
        <v>38160793.05</v>
      </c>
      <c r="H26" s="81">
        <f t="shared" si="2"/>
        <v>40428143</v>
      </c>
      <c r="I26" s="81">
        <f t="shared" si="2"/>
        <v>41670773</v>
      </c>
      <c r="J26" s="81">
        <f t="shared" si="2"/>
        <v>44266206</v>
      </c>
      <c r="K26" s="81">
        <f t="shared" si="2"/>
        <v>40303569.65</v>
      </c>
      <c r="L26" s="81">
        <f t="shared" si="2"/>
        <v>38893936.41</v>
      </c>
      <c r="M26" s="81">
        <f t="shared" si="2"/>
        <v>39037143</v>
      </c>
      <c r="N26" s="81">
        <f t="shared" si="2"/>
        <v>477339483.06</v>
      </c>
    </row>
    <row r="27" spans="1:14" ht="12.75">
      <c r="A27" s="2"/>
      <c r="B27" s="150">
        <f>B17+B26</f>
        <v>1197703851.2699797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2.75">
      <c r="A28" s="2" t="s">
        <v>136</v>
      </c>
      <c r="B28" s="81">
        <f>'Data Inputs - 2012'!B32</f>
        <v>1293794995.0420094</v>
      </c>
      <c r="C28" s="81">
        <f>'Data Inputs - 2012'!C32</f>
        <v>1168598438.7573028</v>
      </c>
      <c r="D28" s="81">
        <f>'Data Inputs - 2012'!D32</f>
        <v>1197746987.5721262</v>
      </c>
      <c r="E28" s="81">
        <f>'Data Inputs - 2012'!E32</f>
        <v>1035710258.520862</v>
      </c>
      <c r="F28" s="81">
        <f>'Data Inputs - 2012'!F32</f>
        <v>989059401.177272</v>
      </c>
      <c r="G28" s="81">
        <f>'Data Inputs - 2012'!G32</f>
        <v>910896620.3216109</v>
      </c>
      <c r="H28" s="81">
        <f>'Data Inputs - 2012'!H32</f>
        <v>946254358.9163003</v>
      </c>
      <c r="I28" s="81">
        <f>'Data Inputs - 2012'!I32</f>
        <v>951452352.5771335</v>
      </c>
      <c r="J28" s="81">
        <f>'Data Inputs - 2012'!J32</f>
        <v>910475832.071868</v>
      </c>
      <c r="K28" s="81">
        <f>'Data Inputs - 2012'!K32</f>
        <v>972762792.448806</v>
      </c>
      <c r="L28" s="81">
        <f>'Data Inputs - 2012'!L32</f>
        <v>1035877824.0352029</v>
      </c>
      <c r="M28" s="81">
        <f>'Data Inputs - 2012'!M32</f>
        <v>1234482169.6868703</v>
      </c>
      <c r="N28" s="81">
        <f>SUM(B28:M28)</f>
        <v>12647112031.127361</v>
      </c>
    </row>
    <row r="29" spans="1:14" ht="12.75">
      <c r="A29" s="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4" ht="12.75">
      <c r="A30" s="2" t="s">
        <v>97</v>
      </c>
      <c r="B30" s="293">
        <v>1974000</v>
      </c>
      <c r="C30" s="293">
        <v>1975000</v>
      </c>
      <c r="D30" s="293">
        <v>6985000</v>
      </c>
      <c r="E30" s="293">
        <v>0</v>
      </c>
      <c r="F30" s="293">
        <v>0</v>
      </c>
      <c r="G30" s="293">
        <v>3000</v>
      </c>
      <c r="H30" s="293">
        <v>8000000</v>
      </c>
      <c r="I30" s="293">
        <v>4997000</v>
      </c>
      <c r="J30" s="293">
        <v>0</v>
      </c>
      <c r="K30" s="293">
        <v>3000000</v>
      </c>
      <c r="L30" s="293">
        <v>2000000</v>
      </c>
      <c r="M30" s="293">
        <v>5973000</v>
      </c>
      <c r="N30" s="81">
        <f>SUM(B30:M30)</f>
        <v>34907000</v>
      </c>
    </row>
    <row r="31" ht="12.75">
      <c r="A31" s="1"/>
    </row>
    <row r="32" spans="1:15" ht="12.75">
      <c r="A32" s="2" t="s">
        <v>283</v>
      </c>
      <c r="B32" s="81">
        <f>B28+B30</f>
        <v>1295768995.0420094</v>
      </c>
      <c r="C32" s="81">
        <f aca="true" t="shared" si="3" ref="C32:M32">C28+C30</f>
        <v>1170573438.7573028</v>
      </c>
      <c r="D32" s="81">
        <f t="shared" si="3"/>
        <v>1204731987.5721262</v>
      </c>
      <c r="E32" s="81">
        <f t="shared" si="3"/>
        <v>1035710258.520862</v>
      </c>
      <c r="F32" s="81">
        <f t="shared" si="3"/>
        <v>989059401.177272</v>
      </c>
      <c r="G32" s="81">
        <f t="shared" si="3"/>
        <v>910899620.3216109</v>
      </c>
      <c r="H32" s="81">
        <f t="shared" si="3"/>
        <v>954254358.9163003</v>
      </c>
      <c r="I32" s="81">
        <f t="shared" si="3"/>
        <v>956449352.5771335</v>
      </c>
      <c r="J32" s="81">
        <f t="shared" si="3"/>
        <v>910475832.071868</v>
      </c>
      <c r="K32" s="81">
        <f t="shared" si="3"/>
        <v>975762792.448806</v>
      </c>
      <c r="L32" s="81">
        <f t="shared" si="3"/>
        <v>1037877824.0352029</v>
      </c>
      <c r="M32" s="81">
        <f t="shared" si="3"/>
        <v>1240455169.6868703</v>
      </c>
      <c r="N32" s="81">
        <f>SUM(B32:M32)</f>
        <v>12682019031.127361</v>
      </c>
      <c r="O32" s="58"/>
    </row>
    <row r="34" spans="1:14" ht="18">
      <c r="A34" s="149" t="s">
        <v>191</v>
      </c>
      <c r="N34" s="58"/>
    </row>
    <row r="35" ht="12.75">
      <c r="A35" s="59" t="s">
        <v>98</v>
      </c>
    </row>
    <row r="36" spans="1:14" ht="12.75">
      <c r="A36" s="11" t="s">
        <v>93</v>
      </c>
      <c r="B36" s="294">
        <v>556500322.576914</v>
      </c>
      <c r="C36" s="294">
        <v>484262542.834452</v>
      </c>
      <c r="D36" s="294">
        <v>481706869.9598764</v>
      </c>
      <c r="E36" s="294">
        <v>380603585.1437499</v>
      </c>
      <c r="F36" s="294">
        <v>344790686.9447696</v>
      </c>
      <c r="G36" s="294">
        <v>281202684.9619205</v>
      </c>
      <c r="H36" s="294">
        <v>284332957.794527</v>
      </c>
      <c r="I36" s="294">
        <v>281670144.4175508</v>
      </c>
      <c r="J36" s="294">
        <v>276977361.042591</v>
      </c>
      <c r="K36" s="294">
        <v>320883292.4352255</v>
      </c>
      <c r="L36" s="294">
        <v>373803208.53217566</v>
      </c>
      <c r="M36" s="294">
        <v>503556309.2935957</v>
      </c>
      <c r="N36" s="77">
        <f>SUM(B36:M36)</f>
        <v>4570289965.937348</v>
      </c>
    </row>
    <row r="37" spans="1:14" ht="12.75">
      <c r="A37" s="11" t="s">
        <v>94</v>
      </c>
      <c r="B37" s="294">
        <v>34447910.65152293</v>
      </c>
      <c r="C37" s="294">
        <v>29132813.248459157</v>
      </c>
      <c r="D37" s="294">
        <v>28576617.84395737</v>
      </c>
      <c r="E37" s="294">
        <v>22794529.910192505</v>
      </c>
      <c r="F37" s="294">
        <v>17073277.310273066</v>
      </c>
      <c r="G37" s="294">
        <v>10628969.2173033</v>
      </c>
      <c r="H37" s="294">
        <v>9192498.617126208</v>
      </c>
      <c r="I37" s="294">
        <v>8651976.891861187</v>
      </c>
      <c r="J37" s="294">
        <v>9496606.488862138</v>
      </c>
      <c r="K37" s="294">
        <v>13628731.031282997</v>
      </c>
      <c r="L37" s="294">
        <v>20878693.33457254</v>
      </c>
      <c r="M37" s="294">
        <v>37059235.03923579</v>
      </c>
      <c r="N37" s="108">
        <f aca="true" t="shared" si="4" ref="N37:N48">SUM(B37:M37)</f>
        <v>241561859.58464918</v>
      </c>
    </row>
    <row r="38" spans="1:14" ht="12.75">
      <c r="A38" s="11" t="s">
        <v>95</v>
      </c>
      <c r="B38" s="294">
        <f aca="true" t="shared" si="5" ref="B38:L38">SUM(B36:B37)</f>
        <v>590948233.2284368</v>
      </c>
      <c r="C38" s="294">
        <f t="shared" si="5"/>
        <v>513395356.08291113</v>
      </c>
      <c r="D38" s="294">
        <f t="shared" si="5"/>
        <v>510283487.8038338</v>
      </c>
      <c r="E38" s="294">
        <f t="shared" si="5"/>
        <v>403398115.0539424</v>
      </c>
      <c r="F38" s="294">
        <f t="shared" si="5"/>
        <v>361863964.2550427</v>
      </c>
      <c r="G38" s="294">
        <f t="shared" si="5"/>
        <v>291831654.1792238</v>
      </c>
      <c r="H38" s="294">
        <f t="shared" si="5"/>
        <v>293525456.4116532</v>
      </c>
      <c r="I38" s="294">
        <f t="shared" si="5"/>
        <v>290322121.309412</v>
      </c>
      <c r="J38" s="294">
        <f t="shared" si="5"/>
        <v>286473967.53145313</v>
      </c>
      <c r="K38" s="294">
        <f t="shared" si="5"/>
        <v>334512023.4665085</v>
      </c>
      <c r="L38" s="294">
        <f t="shared" si="5"/>
        <v>394681901.8667482</v>
      </c>
      <c r="M38" s="294">
        <f>SUM(M36:M37)</f>
        <v>540615544.3328315</v>
      </c>
      <c r="N38" s="77">
        <f t="shared" si="4"/>
        <v>4811851825.521997</v>
      </c>
    </row>
    <row r="39" spans="1:14" ht="12.75">
      <c r="A39" s="11" t="s">
        <v>46</v>
      </c>
      <c r="B39" s="294">
        <v>26529286.921447247</v>
      </c>
      <c r="C39" s="294">
        <v>24390747.269718986</v>
      </c>
      <c r="D39" s="294">
        <v>23438724.034118704</v>
      </c>
      <c r="E39" s="294">
        <v>19672557.9725755</v>
      </c>
      <c r="F39" s="294">
        <v>18047702.527296472</v>
      </c>
      <c r="G39" s="294">
        <v>16798864.53136571</v>
      </c>
      <c r="H39" s="294">
        <v>17436620.07596528</v>
      </c>
      <c r="I39" s="294">
        <v>17802218.591173314</v>
      </c>
      <c r="J39" s="294">
        <v>15832487.77835385</v>
      </c>
      <c r="K39" s="294">
        <v>17795163.55588475</v>
      </c>
      <c r="L39" s="294">
        <v>18773136.40832637</v>
      </c>
      <c r="M39" s="294">
        <v>23898171.038831178</v>
      </c>
      <c r="N39" s="77">
        <f t="shared" si="4"/>
        <v>240415680.70505732</v>
      </c>
    </row>
    <row r="40" spans="1:14" ht="12.75">
      <c r="A40" s="11" t="s">
        <v>47</v>
      </c>
      <c r="B40" s="294">
        <v>260536898.51302907</v>
      </c>
      <c r="C40" s="294">
        <v>245230266.35539687</v>
      </c>
      <c r="D40" s="294">
        <v>253143309.1223787</v>
      </c>
      <c r="E40" s="294">
        <v>216505835.90329042</v>
      </c>
      <c r="F40" s="294">
        <v>204533397.40395656</v>
      </c>
      <c r="G40" s="294">
        <v>203947081.57279432</v>
      </c>
      <c r="H40" s="294">
        <v>221192578.14237002</v>
      </c>
      <c r="I40" s="294">
        <v>216684933.399935</v>
      </c>
      <c r="J40" s="294">
        <v>198519707.80944884</v>
      </c>
      <c r="K40" s="294">
        <v>209822938.6312113</v>
      </c>
      <c r="L40" s="294">
        <v>218989632.13596284</v>
      </c>
      <c r="M40" s="294">
        <v>253973652.54256347</v>
      </c>
      <c r="N40" s="77">
        <f t="shared" si="4"/>
        <v>2703080231.532337</v>
      </c>
    </row>
    <row r="41" spans="1:14" ht="12.75">
      <c r="A41" s="11" t="s">
        <v>48</v>
      </c>
      <c r="B41" s="294">
        <v>35948049.746249706</v>
      </c>
      <c r="C41" s="294">
        <v>32988773.38529269</v>
      </c>
      <c r="D41" s="294">
        <v>35680545.89785305</v>
      </c>
      <c r="E41" s="294">
        <v>32576845.16110641</v>
      </c>
      <c r="F41" s="294">
        <v>32673563.336362816</v>
      </c>
      <c r="G41" s="294">
        <v>33727445.84293761</v>
      </c>
      <c r="H41" s="294">
        <v>39130798.3873876</v>
      </c>
      <c r="I41" s="294">
        <v>39002130.835779525</v>
      </c>
      <c r="J41" s="294">
        <v>35663581.671143085</v>
      </c>
      <c r="K41" s="294">
        <v>34314433.73685785</v>
      </c>
      <c r="L41" s="294">
        <v>33789205.94258412</v>
      </c>
      <c r="M41" s="294">
        <v>34973763.927075155</v>
      </c>
      <c r="N41" s="77">
        <f t="shared" si="4"/>
        <v>420469137.87062955</v>
      </c>
    </row>
    <row r="42" spans="1:14" ht="12.75">
      <c r="A42" s="11" t="s">
        <v>49</v>
      </c>
      <c r="B42" s="294">
        <v>24221711.425671883</v>
      </c>
      <c r="C42" s="294">
        <v>23295430.464865014</v>
      </c>
      <c r="D42" s="294">
        <v>23486675.526259266</v>
      </c>
      <c r="E42" s="294">
        <v>22260716.027822554</v>
      </c>
      <c r="F42" s="294">
        <v>22595308.944604848</v>
      </c>
      <c r="G42" s="294">
        <v>23334667.55431217</v>
      </c>
      <c r="H42" s="294">
        <v>23702232.573241092</v>
      </c>
      <c r="I42" s="294">
        <v>23836916.178048033</v>
      </c>
      <c r="J42" s="294">
        <v>22036609.578838542</v>
      </c>
      <c r="K42" s="294">
        <v>20491818.93519335</v>
      </c>
      <c r="L42" s="294">
        <v>22426753.91755534</v>
      </c>
      <c r="M42" s="294">
        <v>26324274.639650688</v>
      </c>
      <c r="N42" s="77">
        <f t="shared" si="4"/>
        <v>278013115.7660628</v>
      </c>
    </row>
    <row r="43" spans="1:14" ht="12.75">
      <c r="A43" s="11" t="s">
        <v>50</v>
      </c>
      <c r="B43" s="294">
        <v>46550000.06898645</v>
      </c>
      <c r="C43" s="294">
        <v>42136719.30748385</v>
      </c>
      <c r="D43" s="294">
        <v>45137280.730275325</v>
      </c>
      <c r="E43" s="294">
        <v>44735280.343281224</v>
      </c>
      <c r="F43" s="294">
        <v>44634485.44679986</v>
      </c>
      <c r="G43" s="294">
        <v>46139658.75877557</v>
      </c>
      <c r="H43" s="294">
        <v>46053101.59851448</v>
      </c>
      <c r="I43" s="294">
        <v>46545325.22047572</v>
      </c>
      <c r="J43" s="294">
        <v>44827189.09843529</v>
      </c>
      <c r="K43" s="294">
        <v>45571854.681861274</v>
      </c>
      <c r="L43" s="294">
        <v>44483497.30204346</v>
      </c>
      <c r="M43" s="294">
        <v>45890035.31910621</v>
      </c>
      <c r="N43" s="77">
        <f t="shared" si="4"/>
        <v>542704427.8760388</v>
      </c>
    </row>
    <row r="44" spans="1:14" ht="12.75">
      <c r="A44" s="11" t="s">
        <v>51</v>
      </c>
      <c r="B44" s="294">
        <v>78896195.30975631</v>
      </c>
      <c r="C44" s="294">
        <v>71689189.68890525</v>
      </c>
      <c r="D44" s="294">
        <v>79544135.59550335</v>
      </c>
      <c r="E44" s="294">
        <v>78386836.31990942</v>
      </c>
      <c r="F44" s="294">
        <v>81742221.13327698</v>
      </c>
      <c r="G44" s="294">
        <v>80109022.94786228</v>
      </c>
      <c r="H44" s="294">
        <v>81620131.57866311</v>
      </c>
      <c r="I44" s="294">
        <v>92067991.61616936</v>
      </c>
      <c r="J44" s="294">
        <v>84931142.6319673</v>
      </c>
      <c r="K44" s="294">
        <v>85952961.80370618</v>
      </c>
      <c r="L44" s="294">
        <v>82600932.52898721</v>
      </c>
      <c r="M44" s="294">
        <v>79493565.50784285</v>
      </c>
      <c r="N44" s="77">
        <f t="shared" si="4"/>
        <v>977034326.6625495</v>
      </c>
    </row>
    <row r="45" spans="1:14" ht="12.75">
      <c r="A45" s="11" t="s">
        <v>55</v>
      </c>
      <c r="B45" s="294">
        <v>156806614.92479974</v>
      </c>
      <c r="C45" s="294">
        <v>146690059.12319973</v>
      </c>
      <c r="D45" s="294">
        <v>156806614.9247997</v>
      </c>
      <c r="E45" s="294">
        <v>151748337.02400002</v>
      </c>
      <c r="F45" s="294">
        <v>156806614.92479974</v>
      </c>
      <c r="G45" s="294">
        <v>151748337.02400002</v>
      </c>
      <c r="H45" s="294">
        <v>156806614.92479974</v>
      </c>
      <c r="I45" s="294">
        <v>156806614.92479974</v>
      </c>
      <c r="J45" s="294">
        <v>151748337.024</v>
      </c>
      <c r="K45" s="294">
        <v>156806614.92479974</v>
      </c>
      <c r="L45" s="294">
        <v>151748337.02400002</v>
      </c>
      <c r="M45" s="294">
        <v>156806614.92479974</v>
      </c>
      <c r="N45" s="77">
        <f t="shared" si="4"/>
        <v>1851329711.6927977</v>
      </c>
    </row>
    <row r="46" spans="1:14" ht="12.75">
      <c r="A46" s="11" t="s">
        <v>52</v>
      </c>
      <c r="B46" s="294">
        <v>21849901.192985475</v>
      </c>
      <c r="C46" s="294">
        <v>20040298.062964097</v>
      </c>
      <c r="D46" s="294">
        <v>19602937.70449274</v>
      </c>
      <c r="E46" s="294">
        <v>16214006.049110532</v>
      </c>
      <c r="F46" s="294">
        <v>14952178.261269284</v>
      </c>
      <c r="G46" s="294">
        <v>14021313.129389124</v>
      </c>
      <c r="H46" s="294">
        <v>15395137.294623347</v>
      </c>
      <c r="I46" s="294">
        <v>15284672.513137855</v>
      </c>
      <c r="J46" s="294">
        <v>14804958.836560031</v>
      </c>
      <c r="K46" s="294">
        <v>16001086.998217613</v>
      </c>
      <c r="L46" s="294">
        <v>17726077.233805444</v>
      </c>
      <c r="M46" s="294">
        <v>21190475.400479417</v>
      </c>
      <c r="N46" s="77">
        <f t="shared" si="4"/>
        <v>207083042.67703494</v>
      </c>
    </row>
    <row r="47" spans="1:14" ht="12.75">
      <c r="A47" s="11" t="s">
        <v>53</v>
      </c>
      <c r="B47" s="294">
        <v>10868763.664646085</v>
      </c>
      <c r="C47" s="294">
        <v>10422964.494565543</v>
      </c>
      <c r="D47" s="294">
        <v>10960539.438451339</v>
      </c>
      <c r="E47" s="294">
        <v>10369198.431043573</v>
      </c>
      <c r="F47" s="294">
        <v>11130153.955281904</v>
      </c>
      <c r="G47" s="294">
        <v>10299301.552750742</v>
      </c>
      <c r="H47" s="294">
        <v>10138810.813902894</v>
      </c>
      <c r="I47" s="294">
        <v>10578571.22098263</v>
      </c>
      <c r="J47" s="294">
        <v>10468613.512288084</v>
      </c>
      <c r="K47" s="294">
        <v>10368133.245725544</v>
      </c>
      <c r="L47" s="294">
        <v>10965698.505205747</v>
      </c>
      <c r="M47" s="294">
        <v>11482571.33846905</v>
      </c>
      <c r="N47" s="108">
        <f t="shared" si="4"/>
        <v>128053320.17331314</v>
      </c>
    </row>
    <row r="48" spans="1:14" ht="12.75">
      <c r="A48" s="11" t="s">
        <v>44</v>
      </c>
      <c r="B48" s="58">
        <f aca="true" t="shared" si="6" ref="B48:M48">SUM(B38:B47)</f>
        <v>1253155654.9960089</v>
      </c>
      <c r="C48" s="58">
        <f t="shared" si="6"/>
        <v>1130279804.2353032</v>
      </c>
      <c r="D48" s="58">
        <f t="shared" si="6"/>
        <v>1158084250.777966</v>
      </c>
      <c r="E48" s="58">
        <f t="shared" si="6"/>
        <v>995867728.2860821</v>
      </c>
      <c r="F48" s="58">
        <f t="shared" si="6"/>
        <v>948979590.1886913</v>
      </c>
      <c r="G48" s="58">
        <f t="shared" si="6"/>
        <v>871957347.0934113</v>
      </c>
      <c r="H48" s="58">
        <f t="shared" si="6"/>
        <v>905001481.8011208</v>
      </c>
      <c r="I48" s="58">
        <f t="shared" si="6"/>
        <v>908931495.809913</v>
      </c>
      <c r="J48" s="58">
        <f t="shared" si="6"/>
        <v>865306595.4724882</v>
      </c>
      <c r="K48" s="58">
        <f t="shared" si="6"/>
        <v>931637029.979966</v>
      </c>
      <c r="L48" s="58">
        <f t="shared" si="6"/>
        <v>996185172.8652188</v>
      </c>
      <c r="M48" s="58">
        <f t="shared" si="6"/>
        <v>1194648668.9716492</v>
      </c>
      <c r="N48" s="77">
        <f t="shared" si="4"/>
        <v>12160034820.477818</v>
      </c>
    </row>
    <row r="49" ht="12.75">
      <c r="N49" s="1"/>
    </row>
    <row r="50" spans="1:14" ht="12.75">
      <c r="A50" s="2" t="s">
        <v>96</v>
      </c>
      <c r="N50" s="1"/>
    </row>
    <row r="51" spans="1:14" ht="12.75">
      <c r="A51" s="323" t="s">
        <v>74</v>
      </c>
      <c r="N51" s="1"/>
    </row>
    <row r="52" spans="1:14" ht="12.75">
      <c r="A52" s="323" t="s">
        <v>162</v>
      </c>
      <c r="B52" s="294">
        <v>15814159.2</v>
      </c>
      <c r="C52" s="294">
        <v>13757032.8</v>
      </c>
      <c r="D52" s="294">
        <v>15814159.199999997</v>
      </c>
      <c r="E52" s="294">
        <v>14785596</v>
      </c>
      <c r="F52" s="294">
        <v>15814159.2</v>
      </c>
      <c r="G52" s="294">
        <v>14785596</v>
      </c>
      <c r="H52" s="294">
        <v>15814159.2</v>
      </c>
      <c r="I52" s="294">
        <v>15814159.2</v>
      </c>
      <c r="J52" s="294">
        <v>14785596</v>
      </c>
      <c r="K52" s="294">
        <v>15814159.2</v>
      </c>
      <c r="L52" s="294">
        <v>14785596</v>
      </c>
      <c r="M52" s="294">
        <v>15814159.2</v>
      </c>
      <c r="N52" s="77">
        <f aca="true" t="shared" si="7" ref="N52:N57">SUM(B52:M52)</f>
        <v>183598531.2</v>
      </c>
    </row>
    <row r="53" spans="1:14" ht="12.75">
      <c r="A53" s="323" t="s">
        <v>163</v>
      </c>
      <c r="B53" s="294">
        <v>0</v>
      </c>
      <c r="C53" s="294">
        <v>0</v>
      </c>
      <c r="D53" s="294">
        <v>0</v>
      </c>
      <c r="E53" s="294">
        <v>0</v>
      </c>
      <c r="F53" s="294">
        <v>0</v>
      </c>
      <c r="G53" s="294">
        <v>0</v>
      </c>
      <c r="H53" s="294">
        <v>0</v>
      </c>
      <c r="I53" s="294">
        <v>0</v>
      </c>
      <c r="J53" s="294">
        <v>0</v>
      </c>
      <c r="K53" s="294">
        <v>0</v>
      </c>
      <c r="L53" s="294">
        <v>0</v>
      </c>
      <c r="M53" s="294">
        <v>0</v>
      </c>
      <c r="N53" s="77">
        <f t="shared" si="7"/>
        <v>0</v>
      </c>
    </row>
    <row r="54" spans="1:14" ht="12.75">
      <c r="A54" s="1" t="s">
        <v>31</v>
      </c>
      <c r="B54" s="294">
        <v>8753873.846</v>
      </c>
      <c r="C54" s="294">
        <v>8490299.425020395</v>
      </c>
      <c r="D54" s="294">
        <v>7782556.054359599</v>
      </c>
      <c r="E54" s="294">
        <v>8985634.2357796</v>
      </c>
      <c r="F54" s="294">
        <v>8194351.790579601</v>
      </c>
      <c r="G54" s="294">
        <v>8082377.227199599</v>
      </c>
      <c r="H54" s="294">
        <v>9367417.9161796</v>
      </c>
      <c r="I54" s="294">
        <v>10635397.570220396</v>
      </c>
      <c r="J54" s="294">
        <v>14312340.601379612</v>
      </c>
      <c r="K54" s="294">
        <v>9240303.2698396</v>
      </c>
      <c r="L54" s="294">
        <v>8830476.713784399</v>
      </c>
      <c r="M54" s="294">
        <v>7948041.5182204</v>
      </c>
      <c r="N54" s="77">
        <f t="shared" si="7"/>
        <v>110623070.1685628</v>
      </c>
    </row>
    <row r="55" spans="1:14" ht="12.75">
      <c r="A55" s="1" t="s">
        <v>30</v>
      </c>
      <c r="B55" s="294">
        <v>16071300</v>
      </c>
      <c r="C55" s="294">
        <v>16071300</v>
      </c>
      <c r="D55" s="294">
        <v>16071300</v>
      </c>
      <c r="E55" s="294">
        <v>16071300</v>
      </c>
      <c r="F55" s="294">
        <v>16071300</v>
      </c>
      <c r="G55" s="294">
        <v>16071300</v>
      </c>
      <c r="H55" s="294">
        <v>16071300</v>
      </c>
      <c r="I55" s="294">
        <v>16071300.000000002</v>
      </c>
      <c r="J55" s="294">
        <v>16071300</v>
      </c>
      <c r="K55" s="294">
        <v>16071300</v>
      </c>
      <c r="L55" s="294">
        <v>16071300</v>
      </c>
      <c r="M55" s="294">
        <v>16071300</v>
      </c>
      <c r="N55" s="77">
        <f t="shared" si="7"/>
        <v>192855600</v>
      </c>
    </row>
    <row r="56" spans="1:14" ht="12.75">
      <c r="A56" s="326" t="s">
        <v>134</v>
      </c>
      <c r="B56" s="294">
        <v>0</v>
      </c>
      <c r="C56" s="294">
        <v>0</v>
      </c>
      <c r="D56" s="294">
        <v>0</v>
      </c>
      <c r="E56" s="294">
        <v>0</v>
      </c>
      <c r="F56" s="294">
        <v>0</v>
      </c>
      <c r="G56" s="294">
        <v>0</v>
      </c>
      <c r="H56" s="294">
        <v>0</v>
      </c>
      <c r="I56" s="294">
        <v>0</v>
      </c>
      <c r="J56" s="294">
        <v>0</v>
      </c>
      <c r="K56" s="294">
        <v>0</v>
      </c>
      <c r="L56" s="294">
        <v>0</v>
      </c>
      <c r="M56" s="294">
        <v>0</v>
      </c>
      <c r="N56" s="77">
        <f t="shared" si="7"/>
        <v>0</v>
      </c>
    </row>
    <row r="57" spans="1:14" ht="12.75">
      <c r="A57" s="1" t="s">
        <v>44</v>
      </c>
      <c r="B57" s="58">
        <f aca="true" t="shared" si="8" ref="B57:M57">SUM(B52:B56)</f>
        <v>40639333.046000004</v>
      </c>
      <c r="C57" s="58">
        <f t="shared" si="8"/>
        <v>38318632.225020394</v>
      </c>
      <c r="D57" s="58">
        <f t="shared" si="8"/>
        <v>39668015.254359595</v>
      </c>
      <c r="E57" s="58">
        <f t="shared" si="8"/>
        <v>39842530.2357796</v>
      </c>
      <c r="F57" s="58">
        <f t="shared" si="8"/>
        <v>40079810.990579605</v>
      </c>
      <c r="G57" s="58">
        <f t="shared" si="8"/>
        <v>38939273.2271996</v>
      </c>
      <c r="H57" s="58">
        <f t="shared" si="8"/>
        <v>41252877.1161796</v>
      </c>
      <c r="I57" s="58">
        <f t="shared" si="8"/>
        <v>42520856.7702204</v>
      </c>
      <c r="J57" s="58">
        <f t="shared" si="8"/>
        <v>45169236.60137961</v>
      </c>
      <c r="K57" s="58">
        <f t="shared" si="8"/>
        <v>41125762.4698396</v>
      </c>
      <c r="L57" s="58">
        <f t="shared" si="8"/>
        <v>39687372.7137844</v>
      </c>
      <c r="M57" s="58">
        <f t="shared" si="8"/>
        <v>39833500.7182204</v>
      </c>
      <c r="N57" s="77">
        <f t="shared" si="7"/>
        <v>487077201.3685628</v>
      </c>
    </row>
    <row r="58" ht="12.75">
      <c r="N58" s="78"/>
    </row>
    <row r="59" spans="1:14" ht="12.75">
      <c r="A59" s="20" t="s">
        <v>136</v>
      </c>
      <c r="B59" s="58">
        <f>B48+B57</f>
        <v>1293794988.0420089</v>
      </c>
      <c r="C59" s="58">
        <f aca="true" t="shared" si="9" ref="C59:M59">C48+C57</f>
        <v>1168598436.4603236</v>
      </c>
      <c r="D59" s="58">
        <f t="shared" si="9"/>
        <v>1197752266.0323255</v>
      </c>
      <c r="E59" s="58">
        <f t="shared" si="9"/>
        <v>1035710258.5218618</v>
      </c>
      <c r="F59" s="58">
        <f t="shared" si="9"/>
        <v>989059401.1792709</v>
      </c>
      <c r="G59" s="58">
        <f t="shared" si="9"/>
        <v>910896620.3206109</v>
      </c>
      <c r="H59" s="58">
        <f t="shared" si="9"/>
        <v>946254358.9173003</v>
      </c>
      <c r="I59" s="58">
        <f t="shared" si="9"/>
        <v>951452352.5801334</v>
      </c>
      <c r="J59" s="58">
        <f t="shared" si="9"/>
        <v>910475832.0738678</v>
      </c>
      <c r="K59" s="58">
        <f t="shared" si="9"/>
        <v>972762792.4498056</v>
      </c>
      <c r="L59" s="58">
        <f t="shared" si="9"/>
        <v>1035872545.5790031</v>
      </c>
      <c r="M59" s="58">
        <f t="shared" si="9"/>
        <v>1234482169.6898696</v>
      </c>
      <c r="N59" s="78">
        <f>SUM(B59:M59)</f>
        <v>12647112021.846382</v>
      </c>
    </row>
    <row r="60" ht="12.75">
      <c r="N60" s="78"/>
    </row>
    <row r="61" spans="1:14" ht="12.75">
      <c r="A61" s="2" t="s">
        <v>97</v>
      </c>
      <c r="B61" s="293">
        <v>1914000</v>
      </c>
      <c r="C61" s="293">
        <v>1916000</v>
      </c>
      <c r="D61" s="293">
        <v>6776000</v>
      </c>
      <c r="E61" s="293">
        <v>0</v>
      </c>
      <c r="F61" s="293">
        <v>0</v>
      </c>
      <c r="G61" s="293">
        <v>3000</v>
      </c>
      <c r="H61" s="293">
        <v>7760000</v>
      </c>
      <c r="I61" s="293">
        <v>4847000</v>
      </c>
      <c r="J61" s="293">
        <v>0</v>
      </c>
      <c r="K61" s="293">
        <v>2910000</v>
      </c>
      <c r="L61" s="293">
        <v>1940000</v>
      </c>
      <c r="M61" s="293">
        <v>5793000</v>
      </c>
      <c r="N61" s="77">
        <f>SUM(B61:M61)</f>
        <v>33859000</v>
      </c>
    </row>
    <row r="62" spans="1:14" ht="12.75">
      <c r="A62" s="2" t="s">
        <v>136</v>
      </c>
      <c r="B62" s="295">
        <f>B59+B61</f>
        <v>1295708988.0420089</v>
      </c>
      <c r="C62" s="295">
        <f aca="true" t="shared" si="10" ref="C62:M62">C59+C61</f>
        <v>1170514436.4603236</v>
      </c>
      <c r="D62" s="295">
        <f t="shared" si="10"/>
        <v>1204528266.0323255</v>
      </c>
      <c r="E62" s="295">
        <f t="shared" si="10"/>
        <v>1035710258.5218618</v>
      </c>
      <c r="F62" s="295">
        <f t="shared" si="10"/>
        <v>989059401.1792709</v>
      </c>
      <c r="G62" s="295">
        <f t="shared" si="10"/>
        <v>910899620.3206109</v>
      </c>
      <c r="H62" s="295">
        <f t="shared" si="10"/>
        <v>954014358.9173003</v>
      </c>
      <c r="I62" s="295">
        <f t="shared" si="10"/>
        <v>956299352.5801334</v>
      </c>
      <c r="J62" s="295">
        <f t="shared" si="10"/>
        <v>910475832.0738678</v>
      </c>
      <c r="K62" s="295">
        <f t="shared" si="10"/>
        <v>975672792.4498056</v>
      </c>
      <c r="L62" s="295">
        <f t="shared" si="10"/>
        <v>1037812545.5790031</v>
      </c>
      <c r="M62" s="295">
        <f t="shared" si="10"/>
        <v>1240275169.6898696</v>
      </c>
      <c r="N62" s="77">
        <f>SUM(B62:M62)</f>
        <v>12680971021.846382</v>
      </c>
    </row>
    <row r="63" spans="2:14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20" t="s">
        <v>283</v>
      </c>
      <c r="B64" s="54">
        <f>B59+B61</f>
        <v>1295708988.0420089</v>
      </c>
      <c r="C64" s="54">
        <f aca="true" t="shared" si="11" ref="C64:M64">C59+C61</f>
        <v>1170514436.4603236</v>
      </c>
      <c r="D64" s="54">
        <f t="shared" si="11"/>
        <v>1204528266.0323255</v>
      </c>
      <c r="E64" s="54">
        <f t="shared" si="11"/>
        <v>1035710258.5218618</v>
      </c>
      <c r="F64" s="54">
        <f t="shared" si="11"/>
        <v>989059401.1792709</v>
      </c>
      <c r="G64" s="54">
        <f t="shared" si="11"/>
        <v>910899620.3206109</v>
      </c>
      <c r="H64" s="54">
        <f t="shared" si="11"/>
        <v>954014358.9173003</v>
      </c>
      <c r="I64" s="54">
        <f t="shared" si="11"/>
        <v>956299352.5801334</v>
      </c>
      <c r="J64" s="54">
        <f t="shared" si="11"/>
        <v>910475832.0738678</v>
      </c>
      <c r="K64" s="54">
        <f t="shared" si="11"/>
        <v>975672792.4498056</v>
      </c>
      <c r="L64" s="54">
        <f t="shared" si="11"/>
        <v>1037812545.5790031</v>
      </c>
      <c r="M64" s="54">
        <f t="shared" si="11"/>
        <v>1240275169.6898696</v>
      </c>
      <c r="N64" s="54">
        <f>SUM(B64:M64)</f>
        <v>12680971021.846382</v>
      </c>
    </row>
    <row r="66" ht="18">
      <c r="A66" s="149" t="s">
        <v>284</v>
      </c>
    </row>
    <row r="67" ht="12.75">
      <c r="A67" s="59" t="s">
        <v>98</v>
      </c>
    </row>
    <row r="68" spans="1:14" ht="12.75">
      <c r="A68" s="11" t="s">
        <v>93</v>
      </c>
      <c r="B68" s="151">
        <f aca="true" t="shared" si="12" ref="B68:B80">IF(B5=0,0,B36/B5-1)</f>
        <v>0.114866259412574</v>
      </c>
      <c r="C68" s="151">
        <f aca="true" t="shared" si="13" ref="C68:N68">IF(C5=0,0,C36/C5-1)</f>
        <v>0.11628518843282465</v>
      </c>
      <c r="D68" s="151">
        <f t="shared" si="13"/>
        <v>0.1076444580739715</v>
      </c>
      <c r="E68" s="151">
        <f t="shared" si="13"/>
        <v>0.0955991400150853</v>
      </c>
      <c r="F68" s="151">
        <f t="shared" si="13"/>
        <v>0.09445271725457971</v>
      </c>
      <c r="G68" s="151">
        <f t="shared" si="13"/>
        <v>0.07722240647278378</v>
      </c>
      <c r="H68" s="151">
        <f t="shared" si="13"/>
        <v>0.07757256722615935</v>
      </c>
      <c r="I68" s="151">
        <f t="shared" si="13"/>
        <v>0.08805285589415757</v>
      </c>
      <c r="J68" s="151">
        <f t="shared" si="13"/>
        <v>0.07213371910986366</v>
      </c>
      <c r="K68" s="151">
        <f t="shared" si="13"/>
        <v>0.08692591264277638</v>
      </c>
      <c r="L68" s="151">
        <f t="shared" si="13"/>
        <v>0.09600376421714096</v>
      </c>
      <c r="M68" s="151">
        <f t="shared" si="13"/>
        <v>0.12936315932083775</v>
      </c>
      <c r="N68" s="152">
        <f t="shared" si="13"/>
        <v>0.10005959573740997</v>
      </c>
    </row>
    <row r="69" spans="1:14" ht="12.75">
      <c r="A69" s="11" t="s">
        <v>94</v>
      </c>
      <c r="B69" s="153">
        <f t="shared" si="12"/>
        <v>0.11872165515267352</v>
      </c>
      <c r="C69" s="153">
        <f aca="true" t="shared" si="14" ref="C69:N69">IF(C6=0,0,C37/C6-1)</f>
        <v>0.12119427769796709</v>
      </c>
      <c r="D69" s="153">
        <f t="shared" si="14"/>
        <v>0.12089668105853724</v>
      </c>
      <c r="E69" s="153">
        <f t="shared" si="14"/>
        <v>0.10165688520207738</v>
      </c>
      <c r="F69" s="153">
        <f t="shared" si="14"/>
        <v>0.09434164445531157</v>
      </c>
      <c r="G69" s="153">
        <f t="shared" si="14"/>
        <v>0.0762545610043075</v>
      </c>
      <c r="H69" s="153">
        <f t="shared" si="14"/>
        <v>0.07653412688328154</v>
      </c>
      <c r="I69" s="153">
        <f t="shared" si="14"/>
        <v>0.09027040876919501</v>
      </c>
      <c r="J69" s="153">
        <f t="shared" si="14"/>
        <v>0.0731661211793937</v>
      </c>
      <c r="K69" s="153">
        <f t="shared" si="14"/>
        <v>0.09407733980524946</v>
      </c>
      <c r="L69" s="153">
        <f t="shared" si="14"/>
        <v>0.10087766127940423</v>
      </c>
      <c r="M69" s="153">
        <f t="shared" si="14"/>
        <v>0.13092299368606275</v>
      </c>
      <c r="N69" s="154">
        <f t="shared" si="14"/>
        <v>0.10831632594900009</v>
      </c>
    </row>
    <row r="70" spans="1:14" ht="12.75">
      <c r="A70" s="11" t="s">
        <v>95</v>
      </c>
      <c r="B70" s="151">
        <f t="shared" si="12"/>
        <v>0.11509027095298618</v>
      </c>
      <c r="C70" s="151">
        <f aca="true" t="shared" si="15" ref="C70:N70">IF(C7=0,0,C38/C7-1)</f>
        <v>0.11656260578650546</v>
      </c>
      <c r="D70" s="151">
        <f t="shared" si="15"/>
        <v>0.10837831345503801</v>
      </c>
      <c r="E70" s="151">
        <f t="shared" si="15"/>
        <v>0.09593966428384171</v>
      </c>
      <c r="F70" s="151">
        <f t="shared" si="15"/>
        <v>0.09444747616874105</v>
      </c>
      <c r="G70" s="151">
        <f t="shared" si="15"/>
        <v>0.07718712546982864</v>
      </c>
      <c r="H70" s="151">
        <f t="shared" si="15"/>
        <v>0.07754001542992195</v>
      </c>
      <c r="I70" s="151">
        <f t="shared" si="15"/>
        <v>0.08811881143709144</v>
      </c>
      <c r="J70" s="151">
        <f t="shared" si="15"/>
        <v>0.0721679113848297</v>
      </c>
      <c r="K70" s="151">
        <f t="shared" si="15"/>
        <v>0.0872154495959836</v>
      </c>
      <c r="L70" s="151">
        <f t="shared" si="15"/>
        <v>0.09626051227518095</v>
      </c>
      <c r="M70" s="151">
        <f t="shared" si="15"/>
        <v>0.1294699486976496</v>
      </c>
      <c r="N70" s="152">
        <f t="shared" si="15"/>
        <v>0.100471161413906</v>
      </c>
    </row>
    <row r="71" spans="1:14" ht="12.75">
      <c r="A71" s="11" t="s">
        <v>46</v>
      </c>
      <c r="B71" s="151">
        <f t="shared" si="12"/>
        <v>0.10271494601491238</v>
      </c>
      <c r="C71" s="151">
        <f aca="true" t="shared" si="16" ref="C71:N71">IF(C8=0,0,C39/C8-1)</f>
        <v>0.10391474790839661</v>
      </c>
      <c r="D71" s="151">
        <f t="shared" si="16"/>
        <v>0.10768032991228771</v>
      </c>
      <c r="E71" s="151">
        <f t="shared" si="16"/>
        <v>0.09618265092667433</v>
      </c>
      <c r="F71" s="151">
        <f t="shared" si="16"/>
        <v>0.09747584940396137</v>
      </c>
      <c r="G71" s="151">
        <f t="shared" si="16"/>
        <v>0.0727252372081757</v>
      </c>
      <c r="H71" s="151">
        <f t="shared" si="16"/>
        <v>0.08041994183407142</v>
      </c>
      <c r="I71" s="151">
        <f t="shared" si="16"/>
        <v>0.09574568946163242</v>
      </c>
      <c r="J71" s="151">
        <f t="shared" si="16"/>
        <v>0.07634795898377633</v>
      </c>
      <c r="K71" s="151">
        <f t="shared" si="16"/>
        <v>0.08469676154939476</v>
      </c>
      <c r="L71" s="151">
        <f t="shared" si="16"/>
        <v>0.09315285132460471</v>
      </c>
      <c r="M71" s="151">
        <f t="shared" si="16"/>
        <v>0.11417031798028043</v>
      </c>
      <c r="N71" s="152">
        <f t="shared" si="16"/>
        <v>0.09535035225051347</v>
      </c>
    </row>
    <row r="72" spans="1:14" ht="12.75">
      <c r="A72" s="11" t="s">
        <v>47</v>
      </c>
      <c r="B72" s="151">
        <f t="shared" si="12"/>
        <v>0.07126035793463736</v>
      </c>
      <c r="C72" s="151">
        <f aca="true" t="shared" si="17" ref="C72:N72">IF(C9=0,0,C40/C9-1)</f>
        <v>0.07508920196205504</v>
      </c>
      <c r="D72" s="151">
        <f t="shared" si="17"/>
        <v>0.07909382724781167</v>
      </c>
      <c r="E72" s="151">
        <f t="shared" si="17"/>
        <v>0.06665531169030636</v>
      </c>
      <c r="F72" s="151">
        <f t="shared" si="17"/>
        <v>0.06895513687438792</v>
      </c>
      <c r="G72" s="151">
        <f t="shared" si="17"/>
        <v>0.05408379303038391</v>
      </c>
      <c r="H72" s="151">
        <f t="shared" si="17"/>
        <v>0.05702258005789407</v>
      </c>
      <c r="I72" s="151">
        <f t="shared" si="17"/>
        <v>0.06492467817492353</v>
      </c>
      <c r="J72" s="151">
        <f t="shared" si="17"/>
        <v>0.0517640302763116</v>
      </c>
      <c r="K72" s="151">
        <f t="shared" si="17"/>
        <v>0.06288923473298458</v>
      </c>
      <c r="L72" s="151">
        <f t="shared" si="17"/>
        <v>0.06179146905056254</v>
      </c>
      <c r="M72" s="151">
        <f t="shared" si="17"/>
        <v>0.07993844933741823</v>
      </c>
      <c r="N72" s="152">
        <f t="shared" si="17"/>
        <v>0.06672161888165062</v>
      </c>
    </row>
    <row r="73" spans="1:14" ht="12.75">
      <c r="A73" s="11" t="s">
        <v>48</v>
      </c>
      <c r="B73" s="151">
        <f t="shared" si="12"/>
        <v>0.06906764765137674</v>
      </c>
      <c r="C73" s="151">
        <f aca="true" t="shared" si="18" ref="C73:N73">IF(C10=0,0,C41/C10-1)</f>
        <v>0.07014052521395864</v>
      </c>
      <c r="D73" s="151">
        <f t="shared" si="18"/>
        <v>0.07198951627625094</v>
      </c>
      <c r="E73" s="151">
        <f t="shared" si="18"/>
        <v>0.06539869106290475</v>
      </c>
      <c r="F73" s="151">
        <f t="shared" si="18"/>
        <v>0.06846827782958154</v>
      </c>
      <c r="G73" s="151">
        <f t="shared" si="18"/>
        <v>0.052545290897639596</v>
      </c>
      <c r="H73" s="151">
        <f t="shared" si="18"/>
        <v>0.061494840610974544</v>
      </c>
      <c r="I73" s="151">
        <f t="shared" si="18"/>
        <v>0.07235873553226635</v>
      </c>
      <c r="J73" s="151">
        <f t="shared" si="18"/>
        <v>0.054862044780795705</v>
      </c>
      <c r="K73" s="151">
        <f t="shared" si="18"/>
        <v>0.0658094879897626</v>
      </c>
      <c r="L73" s="151">
        <f t="shared" si="18"/>
        <v>0.06188434878104854</v>
      </c>
      <c r="M73" s="151">
        <f t="shared" si="18"/>
        <v>0.0809286534313256</v>
      </c>
      <c r="N73" s="152">
        <f t="shared" si="18"/>
        <v>0.06622989831694603</v>
      </c>
    </row>
    <row r="74" spans="1:14" ht="12.75">
      <c r="A74" s="11" t="s">
        <v>49</v>
      </c>
      <c r="B74" s="151">
        <f t="shared" si="12"/>
        <v>0.058533222160011444</v>
      </c>
      <c r="C74" s="151">
        <f aca="true" t="shared" si="19" ref="C74:N74">IF(C11=0,0,C42/C11-1)</f>
        <v>0.06192109146751967</v>
      </c>
      <c r="D74" s="151">
        <f t="shared" si="19"/>
        <v>0.0674689224091698</v>
      </c>
      <c r="E74" s="151">
        <f t="shared" si="19"/>
        <v>0.060486329472386746</v>
      </c>
      <c r="F74" s="151">
        <f t="shared" si="19"/>
        <v>0.06800698545628037</v>
      </c>
      <c r="G74" s="151">
        <f t="shared" si="19"/>
        <v>0.056535982546548125</v>
      </c>
      <c r="H74" s="151">
        <f t="shared" si="19"/>
        <v>0.05573961174998576</v>
      </c>
      <c r="I74" s="151">
        <f t="shared" si="19"/>
        <v>0.06373818415046983</v>
      </c>
      <c r="J74" s="151">
        <f t="shared" si="19"/>
        <v>0.05204901281353469</v>
      </c>
      <c r="K74" s="151">
        <f t="shared" si="19"/>
        <v>0.06220912501771547</v>
      </c>
      <c r="L74" s="151">
        <f t="shared" si="19"/>
        <v>0.05989918171866937</v>
      </c>
      <c r="M74" s="151">
        <f t="shared" si="19"/>
        <v>0.07279111931073756</v>
      </c>
      <c r="N74" s="152">
        <f t="shared" si="19"/>
        <v>0.06172596141856923</v>
      </c>
    </row>
    <row r="75" spans="1:14" ht="12.75">
      <c r="A75" s="11" t="s">
        <v>50</v>
      </c>
      <c r="B75" s="151">
        <f t="shared" si="12"/>
        <v>0.054493388054461356</v>
      </c>
      <c r="C75" s="151">
        <f aca="true" t="shared" si="20" ref="C75:N75">IF(C12=0,0,C43/C12-1)</f>
        <v>0.05786727220860999</v>
      </c>
      <c r="D75" s="151">
        <f t="shared" si="20"/>
        <v>0.06187111268651324</v>
      </c>
      <c r="E75" s="151">
        <f t="shared" si="20"/>
        <v>0.056073371010245676</v>
      </c>
      <c r="F75" s="151">
        <f t="shared" si="20"/>
        <v>0.06637290855130029</v>
      </c>
      <c r="G75" s="151">
        <f t="shared" si="20"/>
        <v>0.05295880383994289</v>
      </c>
      <c r="H75" s="151">
        <f t="shared" si="20"/>
        <v>0.05195012361115836</v>
      </c>
      <c r="I75" s="151">
        <f t="shared" si="20"/>
        <v>0.06204599619149875</v>
      </c>
      <c r="J75" s="151">
        <f t="shared" si="20"/>
        <v>0.050141278791950405</v>
      </c>
      <c r="K75" s="151">
        <f t="shared" si="20"/>
        <v>0.0587827432303647</v>
      </c>
      <c r="L75" s="151">
        <f t="shared" si="20"/>
        <v>0.05530911291583651</v>
      </c>
      <c r="M75" s="151">
        <f t="shared" si="20"/>
        <v>0.06871484877005862</v>
      </c>
      <c r="N75" s="152">
        <f t="shared" si="20"/>
        <v>0.0580190419164186</v>
      </c>
    </row>
    <row r="76" spans="1:14" ht="12.75">
      <c r="A76" s="11" t="s">
        <v>51</v>
      </c>
      <c r="B76" s="151">
        <f t="shared" si="12"/>
        <v>0.04218003417221006</v>
      </c>
      <c r="C76" s="151">
        <f aca="true" t="shared" si="21" ref="C76:N76">IF(C13=0,0,C44/C13-1)</f>
        <v>0.04501308748441435</v>
      </c>
      <c r="D76" s="151">
        <f t="shared" si="21"/>
        <v>0.04884884300200709</v>
      </c>
      <c r="E76" s="151">
        <f t="shared" si="21"/>
        <v>0.04519130551247841</v>
      </c>
      <c r="F76" s="151">
        <f t="shared" si="21"/>
        <v>0.05511770613532341</v>
      </c>
      <c r="G76" s="151">
        <f t="shared" si="21"/>
        <v>0.04442250556691363</v>
      </c>
      <c r="H76" s="151">
        <f t="shared" si="21"/>
        <v>0.04365101624612433</v>
      </c>
      <c r="I76" s="151">
        <f t="shared" si="21"/>
        <v>0.0524291063320117</v>
      </c>
      <c r="J76" s="151">
        <f t="shared" si="21"/>
        <v>0.04391738732359518</v>
      </c>
      <c r="K76" s="151">
        <f t="shared" si="21"/>
        <v>0.05106473045182125</v>
      </c>
      <c r="L76" s="151">
        <f t="shared" si="21"/>
        <v>0.04289935101583886</v>
      </c>
      <c r="M76" s="151">
        <f t="shared" si="21"/>
        <v>0.05565012235118072</v>
      </c>
      <c r="N76" s="152">
        <f t="shared" si="21"/>
        <v>0.047595950801913034</v>
      </c>
    </row>
    <row r="77" spans="1:14" ht="12.75">
      <c r="A77" s="11" t="s">
        <v>55</v>
      </c>
      <c r="B77" s="151">
        <f t="shared" si="12"/>
        <v>0.02039999999999842</v>
      </c>
      <c r="C77" s="151">
        <f aca="true" t="shared" si="22" ref="C77:N77">IF(C14=0,0,C45/C14-1)</f>
        <v>0.020399999999998197</v>
      </c>
      <c r="D77" s="151">
        <f t="shared" si="22"/>
        <v>0.020399999999998197</v>
      </c>
      <c r="E77" s="151">
        <f t="shared" si="22"/>
        <v>0.020400000000000196</v>
      </c>
      <c r="F77" s="151">
        <f t="shared" si="22"/>
        <v>0.02039999999999842</v>
      </c>
      <c r="G77" s="151">
        <f t="shared" si="22"/>
        <v>0.020400000000000196</v>
      </c>
      <c r="H77" s="151">
        <f t="shared" si="22"/>
        <v>0.02039999999999842</v>
      </c>
      <c r="I77" s="151">
        <f t="shared" si="22"/>
        <v>0.02039999999999842</v>
      </c>
      <c r="J77" s="151">
        <f t="shared" si="22"/>
        <v>0.020399999999999974</v>
      </c>
      <c r="K77" s="151">
        <f t="shared" si="22"/>
        <v>0.02039999999999842</v>
      </c>
      <c r="L77" s="151">
        <f t="shared" si="22"/>
        <v>0.020400000000000196</v>
      </c>
      <c r="M77" s="151">
        <f t="shared" si="22"/>
        <v>0.02039999999999842</v>
      </c>
      <c r="N77" s="152">
        <f t="shared" si="22"/>
        <v>0.02039999999999864</v>
      </c>
    </row>
    <row r="78" spans="1:14" ht="12.75">
      <c r="A78" s="11" t="s">
        <v>52</v>
      </c>
      <c r="B78" s="151">
        <f t="shared" si="12"/>
        <v>0.04499875236371276</v>
      </c>
      <c r="C78" s="151">
        <f aca="true" t="shared" si="23" ref="C78:N78">IF(C15=0,0,C46/C15-1)</f>
        <v>0.04762755930206497</v>
      </c>
      <c r="D78" s="151">
        <f t="shared" si="23"/>
        <v>0.052805556771027495</v>
      </c>
      <c r="E78" s="151">
        <f t="shared" si="23"/>
        <v>0.049170529030821974</v>
      </c>
      <c r="F78" s="151">
        <f t="shared" si="23"/>
        <v>0.057682831611018726</v>
      </c>
      <c r="G78" s="151">
        <f t="shared" si="23"/>
        <v>0.046316173935951</v>
      </c>
      <c r="H78" s="151">
        <f t="shared" si="23"/>
        <v>0.04595924770329152</v>
      </c>
      <c r="I78" s="151">
        <f t="shared" si="23"/>
        <v>0.05268370363558539</v>
      </c>
      <c r="J78" s="151">
        <f t="shared" si="23"/>
        <v>0.04272509833544502</v>
      </c>
      <c r="K78" s="151">
        <f t="shared" si="23"/>
        <v>0.0490868223203873</v>
      </c>
      <c r="L78" s="151">
        <f t="shared" si="23"/>
        <v>0.04329524381005245</v>
      </c>
      <c r="M78" s="151">
        <f t="shared" si="23"/>
        <v>0.05745039318703782</v>
      </c>
      <c r="N78" s="152">
        <f t="shared" si="23"/>
        <v>0.049221586069637446</v>
      </c>
    </row>
    <row r="79" spans="1:14" ht="12.75">
      <c r="A79" s="11" t="s">
        <v>53</v>
      </c>
      <c r="B79" s="153">
        <f t="shared" si="12"/>
        <v>0.11804480482616286</v>
      </c>
      <c r="C79" s="153">
        <f aca="true" t="shared" si="24" ref="C79:N79">IF(C16=0,0,C47/C16-1)</f>
        <v>0.12586628688092172</v>
      </c>
      <c r="D79" s="153">
        <f t="shared" si="24"/>
        <v>0.12934581405095846</v>
      </c>
      <c r="E79" s="153">
        <f t="shared" si="24"/>
        <v>0.10743791814940362</v>
      </c>
      <c r="F79" s="153">
        <f t="shared" si="24"/>
        <v>0.12185975189545228</v>
      </c>
      <c r="G79" s="153">
        <f t="shared" si="24"/>
        <v>0.09065935396277935</v>
      </c>
      <c r="H79" s="153">
        <f t="shared" si="24"/>
        <v>0.09231503729327928</v>
      </c>
      <c r="I79" s="153">
        <f t="shared" si="24"/>
        <v>0.099231536757874</v>
      </c>
      <c r="J79" s="153">
        <f t="shared" si="24"/>
        <v>0.07692277388235591</v>
      </c>
      <c r="K79" s="153">
        <f t="shared" si="24"/>
        <v>0.09265949977642163</v>
      </c>
      <c r="L79" s="153">
        <f t="shared" si="24"/>
        <v>0.08841918015933947</v>
      </c>
      <c r="M79" s="153">
        <f t="shared" si="24"/>
        <v>0.1326237027998327</v>
      </c>
      <c r="N79" s="154">
        <f t="shared" si="24"/>
        <v>0.106388058620974</v>
      </c>
    </row>
    <row r="80" spans="1:14" ht="12.75">
      <c r="A80" s="11" t="s">
        <v>44</v>
      </c>
      <c r="B80" s="155">
        <f t="shared" si="12"/>
        <v>0.08228739100254034</v>
      </c>
      <c r="C80" s="155">
        <f aca="true" t="shared" si="25" ref="C80:N80">IF(C17=0,0,C48/C17-1)</f>
        <v>0.08333052427793497</v>
      </c>
      <c r="D80" s="155">
        <f t="shared" si="25"/>
        <v>0.08053785483580511</v>
      </c>
      <c r="E80" s="155">
        <f t="shared" si="25"/>
        <v>0.0691416196642185</v>
      </c>
      <c r="F80" s="155">
        <f t="shared" si="25"/>
        <v>0.06961634217051316</v>
      </c>
      <c r="G80" s="155">
        <f t="shared" si="25"/>
        <v>0.0552911884152445</v>
      </c>
      <c r="H80" s="155">
        <f t="shared" si="25"/>
        <v>0.056289324599894996</v>
      </c>
      <c r="I80" s="155">
        <f t="shared" si="25"/>
        <v>0.06378231546739377</v>
      </c>
      <c r="J80" s="155">
        <f t="shared" si="25"/>
        <v>0.05257702067743231</v>
      </c>
      <c r="K80" s="155">
        <f t="shared" si="25"/>
        <v>0.06325689915900212</v>
      </c>
      <c r="L80" s="155">
        <f t="shared" si="25"/>
        <v>0.0670832326405486</v>
      </c>
      <c r="M80" s="155">
        <f t="shared" si="25"/>
        <v>0.09174751811583293</v>
      </c>
      <c r="N80" s="155">
        <f t="shared" si="25"/>
        <v>0.07087355905408232</v>
      </c>
    </row>
    <row r="81" spans="2:14" ht="12.75"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</row>
    <row r="82" spans="1:14" ht="12.75">
      <c r="A82" s="2" t="s">
        <v>96</v>
      </c>
      <c r="B82" s="152">
        <f aca="true" t="shared" si="26" ref="B82:N82">IF(B19=0,0,B50/B19-1)</f>
        <v>0</v>
      </c>
      <c r="C82" s="152">
        <f t="shared" si="26"/>
        <v>0</v>
      </c>
      <c r="D82" s="152">
        <f t="shared" si="26"/>
        <v>0</v>
      </c>
      <c r="E82" s="152">
        <f t="shared" si="26"/>
        <v>0</v>
      </c>
      <c r="F82" s="152">
        <f t="shared" si="26"/>
        <v>0</v>
      </c>
      <c r="G82" s="152">
        <f t="shared" si="26"/>
        <v>0</v>
      </c>
      <c r="H82" s="152">
        <f t="shared" si="26"/>
        <v>0</v>
      </c>
      <c r="I82" s="152">
        <f t="shared" si="26"/>
        <v>0</v>
      </c>
      <c r="J82" s="152">
        <f t="shared" si="26"/>
        <v>0</v>
      </c>
      <c r="K82" s="152">
        <f t="shared" si="26"/>
        <v>0</v>
      </c>
      <c r="L82" s="152">
        <f t="shared" si="26"/>
        <v>0</v>
      </c>
      <c r="M82" s="152">
        <f t="shared" si="26"/>
        <v>0</v>
      </c>
      <c r="N82" s="152">
        <f t="shared" si="26"/>
        <v>0</v>
      </c>
    </row>
    <row r="83" spans="1:14" ht="12.75">
      <c r="A83" s="323" t="s">
        <v>74</v>
      </c>
      <c r="B83" s="152">
        <f aca="true" t="shared" si="27" ref="B83:N83">IF(B20=0,0,B51/B20-1)</f>
        <v>0</v>
      </c>
      <c r="C83" s="152">
        <f t="shared" si="27"/>
        <v>0</v>
      </c>
      <c r="D83" s="152">
        <f t="shared" si="27"/>
        <v>0</v>
      </c>
      <c r="E83" s="152">
        <f t="shared" si="27"/>
        <v>0</v>
      </c>
      <c r="F83" s="152">
        <f t="shared" si="27"/>
        <v>0</v>
      </c>
      <c r="G83" s="152">
        <f t="shared" si="27"/>
        <v>0</v>
      </c>
      <c r="H83" s="152">
        <f t="shared" si="27"/>
        <v>0</v>
      </c>
      <c r="I83" s="152">
        <f t="shared" si="27"/>
        <v>0</v>
      </c>
      <c r="J83" s="152">
        <f t="shared" si="27"/>
        <v>0</v>
      </c>
      <c r="K83" s="152">
        <f t="shared" si="27"/>
        <v>0</v>
      </c>
      <c r="L83" s="152">
        <f t="shared" si="27"/>
        <v>0</v>
      </c>
      <c r="M83" s="152">
        <f t="shared" si="27"/>
        <v>0</v>
      </c>
      <c r="N83" s="152">
        <f t="shared" si="27"/>
        <v>0</v>
      </c>
    </row>
    <row r="84" spans="1:14" ht="12.75">
      <c r="A84" s="323" t="s">
        <v>162</v>
      </c>
      <c r="B84" s="152">
        <f aca="true" t="shared" si="28" ref="B84:N84">IF(B21=0,0,B52/B21-1)</f>
        <v>0.020399999999999974</v>
      </c>
      <c r="C84" s="152">
        <f t="shared" si="28"/>
        <v>0.020399999999999974</v>
      </c>
      <c r="D84" s="152">
        <f t="shared" si="28"/>
        <v>0.02039999999999975</v>
      </c>
      <c r="E84" s="152">
        <f t="shared" si="28"/>
        <v>0.020399999999999974</v>
      </c>
      <c r="F84" s="152">
        <f t="shared" si="28"/>
        <v>0.020399999999999974</v>
      </c>
      <c r="G84" s="152">
        <f t="shared" si="28"/>
        <v>0.020399999999999974</v>
      </c>
      <c r="H84" s="152">
        <f t="shared" si="28"/>
        <v>0.020399999999999974</v>
      </c>
      <c r="I84" s="152">
        <f t="shared" si="28"/>
        <v>0.020399999999999974</v>
      </c>
      <c r="J84" s="152">
        <f t="shared" si="28"/>
        <v>0.020399999999999974</v>
      </c>
      <c r="K84" s="152">
        <f t="shared" si="28"/>
        <v>0.020399999999999974</v>
      </c>
      <c r="L84" s="152">
        <f t="shared" si="28"/>
        <v>0.020399999999999974</v>
      </c>
      <c r="M84" s="152">
        <f t="shared" si="28"/>
        <v>0.020399999999999974</v>
      </c>
      <c r="N84" s="152">
        <f t="shared" si="28"/>
        <v>0.020399999999999974</v>
      </c>
    </row>
    <row r="85" spans="1:14" ht="12.75">
      <c r="A85" s="323" t="s">
        <v>163</v>
      </c>
      <c r="B85" s="156">
        <f aca="true" t="shared" si="29" ref="B85:N85">IF(B22=0,0,B53/B22-1)</f>
        <v>0</v>
      </c>
      <c r="C85" s="156">
        <f t="shared" si="29"/>
        <v>0</v>
      </c>
      <c r="D85" s="156">
        <f t="shared" si="29"/>
        <v>0</v>
      </c>
      <c r="E85" s="156">
        <f t="shared" si="29"/>
        <v>0</v>
      </c>
      <c r="F85" s="156">
        <f t="shared" si="29"/>
        <v>0</v>
      </c>
      <c r="G85" s="156">
        <f t="shared" si="29"/>
        <v>0</v>
      </c>
      <c r="H85" s="156">
        <f t="shared" si="29"/>
        <v>0</v>
      </c>
      <c r="I85" s="156">
        <f t="shared" si="29"/>
        <v>0</v>
      </c>
      <c r="J85" s="156">
        <f t="shared" si="29"/>
        <v>0</v>
      </c>
      <c r="K85" s="156">
        <f t="shared" si="29"/>
        <v>0</v>
      </c>
      <c r="L85" s="156">
        <f t="shared" si="29"/>
        <v>0</v>
      </c>
      <c r="M85" s="156">
        <f t="shared" si="29"/>
        <v>0</v>
      </c>
      <c r="N85" s="156">
        <f t="shared" si="29"/>
        <v>0</v>
      </c>
    </row>
    <row r="86" spans="1:14" ht="12.75">
      <c r="A86" s="1" t="s">
        <v>31</v>
      </c>
      <c r="B86" s="152">
        <f aca="true" t="shared" si="30" ref="B86:N86">IF(B23=0,0,B54/B23-1)</f>
        <v>0.02039916739636638</v>
      </c>
      <c r="C86" s="152">
        <f t="shared" si="30"/>
        <v>0.02040000012263543</v>
      </c>
      <c r="D86" s="152">
        <f t="shared" si="30"/>
        <v>0.020399999866211438</v>
      </c>
      <c r="E86" s="152">
        <f t="shared" si="30"/>
        <v>0.020399999884124442</v>
      </c>
      <c r="F86" s="152">
        <f t="shared" si="30"/>
        <v>0.02039999987293517</v>
      </c>
      <c r="G86" s="152">
        <f t="shared" si="30"/>
        <v>0.02039999987117458</v>
      </c>
      <c r="H86" s="152">
        <f t="shared" si="30"/>
        <v>0.020399999888846887</v>
      </c>
      <c r="I86" s="152">
        <f t="shared" si="30"/>
        <v>0.02040000009790055</v>
      </c>
      <c r="J86" s="152">
        <f t="shared" si="30"/>
        <v>0.020399999927251278</v>
      </c>
      <c r="K86" s="152">
        <f t="shared" si="30"/>
        <v>0.02039999988731811</v>
      </c>
      <c r="L86" s="152">
        <f t="shared" si="30"/>
        <v>0.020400000117911432</v>
      </c>
      <c r="M86" s="152">
        <f t="shared" si="30"/>
        <v>0.02040000013100296</v>
      </c>
      <c r="N86" s="152">
        <f t="shared" si="30"/>
        <v>0.02039993408575369</v>
      </c>
    </row>
    <row r="87" spans="1:14" ht="12.75">
      <c r="A87" s="1" t="s">
        <v>30</v>
      </c>
      <c r="B87" s="152">
        <f aca="true" t="shared" si="31" ref="B87:N87">IF(B24=0,0,B55/B24-1)</f>
        <v>0.020399999999999974</v>
      </c>
      <c r="C87" s="152">
        <f t="shared" si="31"/>
        <v>0.020399999999999974</v>
      </c>
      <c r="D87" s="152">
        <f t="shared" si="31"/>
        <v>0.020399999999999974</v>
      </c>
      <c r="E87" s="152">
        <f t="shared" si="31"/>
        <v>0.020399999999999974</v>
      </c>
      <c r="F87" s="152">
        <f t="shared" si="31"/>
        <v>0.020399999999999974</v>
      </c>
      <c r="G87" s="152">
        <f t="shared" si="31"/>
        <v>0.020399999999999974</v>
      </c>
      <c r="H87" s="152">
        <f t="shared" si="31"/>
        <v>0.020399999999999974</v>
      </c>
      <c r="I87" s="152">
        <f t="shared" si="31"/>
        <v>0.020400000000000196</v>
      </c>
      <c r="J87" s="152">
        <f t="shared" si="31"/>
        <v>0.020399999999999974</v>
      </c>
      <c r="K87" s="152">
        <f t="shared" si="31"/>
        <v>0.020399999999999974</v>
      </c>
      <c r="L87" s="152">
        <f t="shared" si="31"/>
        <v>0.020399999999999974</v>
      </c>
      <c r="M87" s="152">
        <f t="shared" si="31"/>
        <v>0.020399999999999974</v>
      </c>
      <c r="N87" s="152">
        <f t="shared" si="31"/>
        <v>0.020399999999999974</v>
      </c>
    </row>
    <row r="88" spans="1:14" ht="12.75">
      <c r="A88" s="326" t="s">
        <v>134</v>
      </c>
      <c r="B88" s="154">
        <f aca="true" t="shared" si="32" ref="B88:N88">IF(B25=0,0,B56/B25-1)</f>
        <v>0</v>
      </c>
      <c r="C88" s="154">
        <f t="shared" si="32"/>
        <v>0</v>
      </c>
      <c r="D88" s="154">
        <f t="shared" si="32"/>
        <v>0</v>
      </c>
      <c r="E88" s="153">
        <f t="shared" si="32"/>
        <v>0</v>
      </c>
      <c r="F88" s="153">
        <f t="shared" si="32"/>
        <v>0</v>
      </c>
      <c r="G88" s="153">
        <f t="shared" si="32"/>
        <v>0</v>
      </c>
      <c r="H88" s="153">
        <f t="shared" si="32"/>
        <v>0</v>
      </c>
      <c r="I88" s="153">
        <f t="shared" si="32"/>
        <v>0</v>
      </c>
      <c r="J88" s="154">
        <f t="shared" si="32"/>
        <v>0</v>
      </c>
      <c r="K88" s="154">
        <f t="shared" si="32"/>
        <v>0</v>
      </c>
      <c r="L88" s="154">
        <f t="shared" si="32"/>
        <v>0</v>
      </c>
      <c r="M88" s="154">
        <f t="shared" si="32"/>
        <v>0</v>
      </c>
      <c r="N88" s="152">
        <f t="shared" si="32"/>
        <v>0</v>
      </c>
    </row>
    <row r="89" spans="1:14" ht="12.75">
      <c r="A89" s="1" t="s">
        <v>44</v>
      </c>
      <c r="B89" s="155">
        <f aca="true" t="shared" si="33" ref="B89:N89">IF(B26=0,0,B57/B26-1)</f>
        <v>0.020399820653753675</v>
      </c>
      <c r="C89" s="155">
        <f t="shared" si="33"/>
        <v>0.02040000002717246</v>
      </c>
      <c r="D89" s="155">
        <f t="shared" si="33"/>
        <v>0.020399999973751637</v>
      </c>
      <c r="E89" s="155">
        <f t="shared" si="33"/>
        <v>0.020399999973866656</v>
      </c>
      <c r="F89" s="155">
        <f t="shared" si="33"/>
        <v>0.020399999974021643</v>
      </c>
      <c r="G89" s="155">
        <f t="shared" si="33"/>
        <v>0.020399999973260474</v>
      </c>
      <c r="H89" s="155">
        <f t="shared" si="33"/>
        <v>0.020399999974760163</v>
      </c>
      <c r="I89" s="155">
        <f t="shared" si="33"/>
        <v>0.020400000024487053</v>
      </c>
      <c r="J89" s="155">
        <f t="shared" si="33"/>
        <v>0.020399999976948857</v>
      </c>
      <c r="K89" s="155">
        <f t="shared" si="33"/>
        <v>0.020399999974682226</v>
      </c>
      <c r="L89" s="155">
        <f t="shared" si="33"/>
        <v>0.020400000026235432</v>
      </c>
      <c r="M89" s="155">
        <f t="shared" si="33"/>
        <v>0.020400000026139065</v>
      </c>
      <c r="N89" s="155">
        <f t="shared" si="33"/>
        <v>0.020399985029813328</v>
      </c>
    </row>
    <row r="90" spans="2:14" ht="12.75"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 ht="12.75">
      <c r="A91" s="20" t="s">
        <v>136</v>
      </c>
      <c r="B91" s="155">
        <f>IF(B28=0,0,B59/B28-1)</f>
        <v>-5.410440206965461E-09</v>
      </c>
      <c r="C91" s="155">
        <f aca="true" t="shared" si="34" ref="C91:N91">IF(C28=0,0,C59/C28-1)</f>
        <v>-1.965584695007294E-09</v>
      </c>
      <c r="D91" s="155">
        <f t="shared" si="34"/>
        <v>4.40699100412445E-06</v>
      </c>
      <c r="E91" s="155">
        <f t="shared" si="34"/>
        <v>9.65227897609111E-13</v>
      </c>
      <c r="F91" s="155">
        <f t="shared" si="34"/>
        <v>2.021049994027635E-12</v>
      </c>
      <c r="G91" s="155">
        <f t="shared" si="34"/>
        <v>-1.0978995490518173E-12</v>
      </c>
      <c r="H91" s="155">
        <f t="shared" si="34"/>
        <v>1.056932319443149E-12</v>
      </c>
      <c r="I91" s="155">
        <f t="shared" si="34"/>
        <v>3.1530333899354446E-12</v>
      </c>
      <c r="J91" s="155">
        <f t="shared" si="34"/>
        <v>2.1964652319184097E-12</v>
      </c>
      <c r="K91" s="155">
        <f t="shared" si="34"/>
        <v>1.0276224315930449E-12</v>
      </c>
      <c r="L91" s="155">
        <f t="shared" si="34"/>
        <v>-5.095635872587323E-06</v>
      </c>
      <c r="M91" s="155">
        <f t="shared" si="34"/>
        <v>2.4296120670896926E-12</v>
      </c>
      <c r="N91" s="155">
        <f t="shared" si="34"/>
        <v>-7.338417651325813E-10</v>
      </c>
    </row>
    <row r="92" spans="2:14" ht="12.75"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 ht="12.75">
      <c r="A93" s="2" t="s">
        <v>97</v>
      </c>
      <c r="B93" s="155">
        <f aca="true" t="shared" si="35" ref="B93:N93">IF(B30=0,0,B61/B30-1)</f>
        <v>-0.03039513677811545</v>
      </c>
      <c r="C93" s="155">
        <f t="shared" si="35"/>
        <v>-0.02987341772151897</v>
      </c>
      <c r="D93" s="155">
        <f t="shared" si="35"/>
        <v>-0.0299212598425197</v>
      </c>
      <c r="E93" s="155">
        <f t="shared" si="35"/>
        <v>0</v>
      </c>
      <c r="F93" s="155">
        <f t="shared" si="35"/>
        <v>0</v>
      </c>
      <c r="G93" s="155">
        <f t="shared" si="35"/>
        <v>0</v>
      </c>
      <c r="H93" s="155">
        <f t="shared" si="35"/>
        <v>-0.030000000000000027</v>
      </c>
      <c r="I93" s="155">
        <f t="shared" si="35"/>
        <v>-0.03001801080648392</v>
      </c>
      <c r="J93" s="155">
        <f t="shared" si="35"/>
        <v>0</v>
      </c>
      <c r="K93" s="155">
        <f t="shared" si="35"/>
        <v>-0.030000000000000027</v>
      </c>
      <c r="L93" s="155">
        <f t="shared" si="35"/>
        <v>-0.030000000000000027</v>
      </c>
      <c r="M93" s="155">
        <f>IF(M30=0,0,M61/M30-1)</f>
        <v>-0.030135610246107447</v>
      </c>
      <c r="N93" s="155">
        <f t="shared" si="35"/>
        <v>-0.03002263156386975</v>
      </c>
    </row>
    <row r="94" spans="2:14" ht="12.75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ht="12.75">
      <c r="A95" s="20" t="s">
        <v>283</v>
      </c>
      <c r="B95" s="155">
        <f aca="true" t="shared" si="36" ref="B95:N95">IF(B32=0,0,B64/B32-1)</f>
        <v>-4.630995202858923E-05</v>
      </c>
      <c r="C95" s="155">
        <f t="shared" si="36"/>
        <v>-5.0404609421073054E-05</v>
      </c>
      <c r="D95" s="155">
        <f t="shared" si="36"/>
        <v>-0.00016910112946466604</v>
      </c>
      <c r="E95" s="155">
        <f t="shared" si="36"/>
        <v>9.65227897609111E-13</v>
      </c>
      <c r="F95" s="155">
        <f t="shared" si="36"/>
        <v>2.021049994027635E-12</v>
      </c>
      <c r="G95" s="155">
        <f t="shared" si="36"/>
        <v>-1.0978995490518173E-12</v>
      </c>
      <c r="H95" s="155">
        <f t="shared" si="36"/>
        <v>-0.00025150526875505896</v>
      </c>
      <c r="I95" s="155">
        <f t="shared" si="36"/>
        <v>-0.00015683004708610948</v>
      </c>
      <c r="J95" s="155">
        <f t="shared" si="36"/>
        <v>2.1964652319184097E-12</v>
      </c>
      <c r="K95" s="155">
        <f t="shared" si="36"/>
        <v>-9.223553070158985E-05</v>
      </c>
      <c r="L95" s="155">
        <f t="shared" si="36"/>
        <v>-6.289608920051482E-05</v>
      </c>
      <c r="M95" s="155">
        <f t="shared" si="36"/>
        <v>-0.0001451080227640178</v>
      </c>
      <c r="N95" s="155">
        <f t="shared" si="36"/>
        <v>-8.26374158883203E-05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17" scale="80" r:id="rId1"/>
  <rowBreaks count="1" manualBreakCount="1">
    <brk id="4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175"/>
  <sheetViews>
    <sheetView view="pageBreakPreview" zoomScale="60" zoomScaleNormal="70" zoomScalePageLayoutView="0" workbookViewId="0" topLeftCell="A1">
      <pane xSplit="2" ySplit="1" topLeftCell="C86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E173" sqref="E173"/>
    </sheetView>
  </sheetViews>
  <sheetFormatPr defaultColWidth="9.140625" defaultRowHeight="12.75"/>
  <cols>
    <col min="1" max="1" width="32.00390625" style="62" customWidth="1"/>
    <col min="2" max="2" width="17.421875" style="62" customWidth="1"/>
    <col min="3" max="3" width="18.28125" style="62" bestFit="1" customWidth="1"/>
    <col min="4" max="4" width="16.57421875" style="62" customWidth="1"/>
    <col min="5" max="5" width="18.421875" style="62" bestFit="1" customWidth="1"/>
    <col min="6" max="6" width="18.00390625" style="62" bestFit="1" customWidth="1"/>
    <col min="7" max="8" width="17.28125" style="62" bestFit="1" customWidth="1"/>
    <col min="9" max="10" width="17.7109375" style="62" bestFit="1" customWidth="1"/>
    <col min="11" max="11" width="16.57421875" style="62" customWidth="1"/>
    <col min="12" max="12" width="17.00390625" style="62" bestFit="1" customWidth="1"/>
    <col min="13" max="13" width="17.28125" style="62" bestFit="1" customWidth="1"/>
    <col min="14" max="14" width="18.28125" style="62" bestFit="1" customWidth="1"/>
    <col min="15" max="15" width="17.28125" style="62" bestFit="1" customWidth="1"/>
    <col min="16" max="26" width="10.7109375" style="62" bestFit="1" customWidth="1"/>
    <col min="27" max="16384" width="9.140625" style="62" customWidth="1"/>
  </cols>
  <sheetData>
    <row r="1" spans="1:15" ht="25.5" customHeight="1">
      <c r="A1" s="311" t="s">
        <v>87</v>
      </c>
      <c r="B1" s="312" t="s">
        <v>129</v>
      </c>
      <c r="C1" s="313" t="s">
        <v>75</v>
      </c>
      <c r="D1" s="313" t="s">
        <v>76</v>
      </c>
      <c r="E1" s="313" t="s">
        <v>77</v>
      </c>
      <c r="F1" s="313" t="s">
        <v>78</v>
      </c>
      <c r="G1" s="313" t="s">
        <v>79</v>
      </c>
      <c r="H1" s="313" t="s">
        <v>80</v>
      </c>
      <c r="I1" s="313" t="s">
        <v>81</v>
      </c>
      <c r="J1" s="313" t="s">
        <v>82</v>
      </c>
      <c r="K1" s="313" t="s">
        <v>83</v>
      </c>
      <c r="L1" s="313" t="s">
        <v>84</v>
      </c>
      <c r="M1" s="313" t="s">
        <v>85</v>
      </c>
      <c r="N1" s="313" t="s">
        <v>86</v>
      </c>
      <c r="O1" s="313" t="s">
        <v>123</v>
      </c>
    </row>
    <row r="2" spans="1:15" ht="12.75">
      <c r="A2" s="64" t="s">
        <v>128</v>
      </c>
      <c r="B2" s="64"/>
      <c r="C2" s="65">
        <v>65446927.2</v>
      </c>
      <c r="D2" s="65">
        <v>55406557.2</v>
      </c>
      <c r="E2" s="65">
        <v>48531144.99999999</v>
      </c>
      <c r="F2" s="65">
        <v>44174995.300000004</v>
      </c>
      <c r="G2" s="65">
        <v>39583691.5</v>
      </c>
      <c r="H2" s="65">
        <v>42628139.800000004</v>
      </c>
      <c r="I2" s="65">
        <v>42911403.4</v>
      </c>
      <c r="J2" s="65">
        <v>45275849.99398545</v>
      </c>
      <c r="K2" s="65">
        <v>37619132.931146376</v>
      </c>
      <c r="L2" s="65">
        <v>39900147.800000004</v>
      </c>
      <c r="M2" s="65">
        <v>41935536.08641198</v>
      </c>
      <c r="N2" s="65">
        <v>48911578.52078851</v>
      </c>
      <c r="O2" s="87">
        <f aca="true" t="shared" si="0" ref="O2:O8">SUM(C2:N2)</f>
        <v>552325104.7323323</v>
      </c>
    </row>
    <row r="3" spans="1:15" ht="12.75">
      <c r="A3" s="64" t="s">
        <v>102</v>
      </c>
      <c r="B3" s="64"/>
      <c r="C3" s="65">
        <v>8302348</v>
      </c>
      <c r="D3" s="65">
        <v>4307533</v>
      </c>
      <c r="E3" s="65">
        <v>1948549</v>
      </c>
      <c r="F3" s="65">
        <v>5342028</v>
      </c>
      <c r="G3" s="65">
        <v>5724746</v>
      </c>
      <c r="H3" s="65">
        <v>3570261</v>
      </c>
      <c r="I3" s="65">
        <v>2978014</v>
      </c>
      <c r="J3" s="65">
        <v>3471935</v>
      </c>
      <c r="K3" s="65">
        <f>4637437+1133459</f>
        <v>5770896</v>
      </c>
      <c r="L3" s="168">
        <v>2455576</v>
      </c>
      <c r="M3" s="65">
        <v>4318545</v>
      </c>
      <c r="N3" s="65">
        <v>6097997</v>
      </c>
      <c r="O3" s="66">
        <f t="shared" si="0"/>
        <v>54288428</v>
      </c>
    </row>
    <row r="4" spans="1:15" ht="12.75">
      <c r="A4" s="64" t="s">
        <v>103</v>
      </c>
      <c r="B4" s="64"/>
      <c r="C4" s="65">
        <f>3652733-740664.8</f>
        <v>2912068.2</v>
      </c>
      <c r="D4" s="65">
        <f>3276451-138937.8</f>
        <v>3137513.2</v>
      </c>
      <c r="E4" s="65">
        <f>5266596-910055</f>
        <v>4356541</v>
      </c>
      <c r="F4" s="65">
        <f>6466574-845634.7</f>
        <v>5620939.3</v>
      </c>
      <c r="G4" s="65">
        <f>3841862-700680.5</f>
        <v>3141181.5</v>
      </c>
      <c r="H4" s="65">
        <f>-1028514+4492513.8</f>
        <v>3463999.8</v>
      </c>
      <c r="I4" s="65">
        <f>3415744+191220.4</f>
        <v>3606964.4</v>
      </c>
      <c r="J4" s="65">
        <v>3131338</v>
      </c>
      <c r="K4" s="65">
        <f>3519310-1018373.07</f>
        <v>2500936.93</v>
      </c>
      <c r="L4" s="168">
        <v>4951746.8</v>
      </c>
      <c r="M4" s="65">
        <f>4388765+189924.09</f>
        <v>4578689.09</v>
      </c>
      <c r="N4" s="65">
        <f>4894255+189562</f>
        <v>5083817</v>
      </c>
      <c r="O4" s="66">
        <f t="shared" si="0"/>
        <v>46485735.22</v>
      </c>
    </row>
    <row r="5" spans="1:15" ht="12.75">
      <c r="A5" s="67" t="s">
        <v>27</v>
      </c>
      <c r="B5" s="67"/>
      <c r="C5" s="65">
        <v>9574</v>
      </c>
      <c r="D5" s="116">
        <v>1908</v>
      </c>
      <c r="E5" s="116">
        <v>34594</v>
      </c>
      <c r="F5" s="116">
        <v>1522</v>
      </c>
      <c r="G5" s="116">
        <v>6291</v>
      </c>
      <c r="H5" s="116">
        <v>143</v>
      </c>
      <c r="I5" s="116">
        <v>119472</v>
      </c>
      <c r="J5" s="116">
        <v>107832</v>
      </c>
      <c r="K5" s="116">
        <v>8262</v>
      </c>
      <c r="L5" s="116">
        <v>32836</v>
      </c>
      <c r="M5" s="116">
        <v>1269760</v>
      </c>
      <c r="N5" s="116">
        <v>-488</v>
      </c>
      <c r="O5" s="66">
        <f>SUM(C5:N5)</f>
        <v>1591706</v>
      </c>
    </row>
    <row r="6" spans="1:15" ht="12.75">
      <c r="A6" s="64" t="s">
        <v>108</v>
      </c>
      <c r="B6" s="64"/>
      <c r="C6" s="65">
        <v>9056.36802649504</v>
      </c>
      <c r="D6" s="65">
        <v>9056.36802649504</v>
      </c>
      <c r="E6" s="65">
        <v>9056.36802649504</v>
      </c>
      <c r="F6" s="65">
        <v>9056.36802649504</v>
      </c>
      <c r="G6" s="65">
        <v>9056.36802649504</v>
      </c>
      <c r="H6" s="65">
        <v>9396.60858641477</v>
      </c>
      <c r="I6" s="65">
        <v>9396.60858641477</v>
      </c>
      <c r="J6" s="65">
        <v>9396.60858641477</v>
      </c>
      <c r="K6" s="65">
        <v>9927.02571193174</v>
      </c>
      <c r="L6" s="65">
        <v>9927.02571193174</v>
      </c>
      <c r="M6" s="65">
        <v>9128.713913972733</v>
      </c>
      <c r="N6" s="65">
        <v>9128.713913972733</v>
      </c>
      <c r="O6" s="66">
        <f t="shared" si="0"/>
        <v>111583.14514352845</v>
      </c>
    </row>
    <row r="7" spans="1:15" ht="25.5">
      <c r="A7" s="64" t="s">
        <v>132</v>
      </c>
      <c r="B7" s="64"/>
      <c r="C7" s="65">
        <v>-183333.333333333</v>
      </c>
      <c r="D7" s="65">
        <v>-183333.333333333</v>
      </c>
      <c r="E7" s="65">
        <v>-183333.333333333</v>
      </c>
      <c r="F7" s="65">
        <v>-183333.333333333</v>
      </c>
      <c r="G7" s="65">
        <v>-183333.333333333</v>
      </c>
      <c r="H7" s="65">
        <v>-183333.333333333</v>
      </c>
      <c r="I7" s="65">
        <v>-183333.333333333</v>
      </c>
      <c r="J7" s="65">
        <v>-183333.333333333</v>
      </c>
      <c r="K7" s="65">
        <v>-183333.333333333</v>
      </c>
      <c r="L7" s="65">
        <v>-183333.333333333</v>
      </c>
      <c r="M7" s="65">
        <v>-183333.33333333334</v>
      </c>
      <c r="N7" s="65">
        <v>-183333.33333333334</v>
      </c>
      <c r="O7" s="66">
        <f t="shared" si="0"/>
        <v>-2199999.9999999967</v>
      </c>
    </row>
    <row r="8" spans="1:15" ht="12.75">
      <c r="A8" s="64" t="s">
        <v>133</v>
      </c>
      <c r="B8" s="64"/>
      <c r="C8" s="161">
        <v>-22380.469999999703</v>
      </c>
      <c r="D8" s="161">
        <v>15899.3700000012</v>
      </c>
      <c r="E8" s="161">
        <v>1285756.3299999998</v>
      </c>
      <c r="F8" s="161">
        <v>-251420.62</v>
      </c>
      <c r="G8" s="161">
        <v>5908.57999999547</v>
      </c>
      <c r="H8" s="161">
        <v>1698676.02</v>
      </c>
      <c r="I8" s="161">
        <v>724148.94</v>
      </c>
      <c r="J8" s="161">
        <v>-88377.2400000004</v>
      </c>
      <c r="K8" s="161">
        <v>931543.91</v>
      </c>
      <c r="L8" s="161">
        <v>-16292.51</v>
      </c>
      <c r="M8" s="161">
        <v>0</v>
      </c>
      <c r="N8" s="161">
        <v>864577.8115483327</v>
      </c>
      <c r="O8" s="66">
        <f t="shared" si="0"/>
        <v>5148040.1215483295</v>
      </c>
    </row>
    <row r="9" spans="3:14" ht="12.75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2.75">
      <c r="A10" s="63" t="s">
        <v>89</v>
      </c>
      <c r="B10" s="6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5" ht="12.75">
      <c r="A11" s="62" t="s">
        <v>240</v>
      </c>
      <c r="C11" s="66">
        <v>-45481.0120055</v>
      </c>
      <c r="D11" s="66">
        <v>-16454.805050000003</v>
      </c>
      <c r="E11" s="66">
        <v>-10800.752049999997</v>
      </c>
      <c r="F11" s="66">
        <v>8563.808599999997</v>
      </c>
      <c r="G11" s="66">
        <v>111978.6019155</v>
      </c>
      <c r="H11" s="66">
        <v>-1839.7458490000026</v>
      </c>
      <c r="I11" s="66">
        <v>127757.98255000004</v>
      </c>
      <c r="J11" s="66">
        <v>94484.20087649999</v>
      </c>
      <c r="K11" s="66">
        <v>38163.01855</v>
      </c>
      <c r="L11" s="66">
        <v>148257.08999</v>
      </c>
      <c r="M11" s="66">
        <v>81885.7802250471</v>
      </c>
      <c r="N11" s="66">
        <v>14018.63825748</v>
      </c>
      <c r="O11" s="66">
        <f>SUM(C11:N11)</f>
        <v>550532.8060100271</v>
      </c>
    </row>
    <row r="12" spans="1:15" ht="12.75">
      <c r="A12" s="62" t="s">
        <v>281</v>
      </c>
      <c r="C12" s="66">
        <v>138.52799449999986</v>
      </c>
      <c r="D12" s="66">
        <v>5.30495</v>
      </c>
      <c r="E12" s="66">
        <v>33.087950000000006</v>
      </c>
      <c r="F12" s="66">
        <v>148.11860000000001</v>
      </c>
      <c r="G12" s="66">
        <v>718.6719155000001</v>
      </c>
      <c r="H12" s="66">
        <v>112.91415100000012</v>
      </c>
      <c r="I12" s="66">
        <v>794.39255</v>
      </c>
      <c r="J12" s="66">
        <v>615.4108765</v>
      </c>
      <c r="K12" s="66">
        <v>292.05855</v>
      </c>
      <c r="L12" s="66">
        <v>1038.50999</v>
      </c>
      <c r="M12" s="66">
        <v>457.69759350000004</v>
      </c>
      <c r="N12" s="66">
        <v>108.8283</v>
      </c>
      <c r="O12" s="66">
        <f>SUM(C12:N12)</f>
        <v>4463.523421000001</v>
      </c>
    </row>
    <row r="13" spans="1:15" ht="12.75">
      <c r="A13" s="62" t="s">
        <v>178</v>
      </c>
      <c r="C13" s="66">
        <v>1978.9713499999978</v>
      </c>
      <c r="D13" s="66">
        <v>75.785</v>
      </c>
      <c r="E13" s="66">
        <v>472.685</v>
      </c>
      <c r="F13" s="66">
        <v>2115.9800000000005</v>
      </c>
      <c r="G13" s="66">
        <v>10266.74165</v>
      </c>
      <c r="H13" s="66">
        <v>1613.0593000000017</v>
      </c>
      <c r="I13" s="66">
        <v>11348.465</v>
      </c>
      <c r="J13" s="66">
        <v>8791.58395</v>
      </c>
      <c r="K13" s="66">
        <v>4172.264999999999</v>
      </c>
      <c r="L13" s="66">
        <v>14835.857000000002</v>
      </c>
      <c r="M13" s="66">
        <v>6538.537050000001</v>
      </c>
      <c r="N13" s="66">
        <v>1554.69</v>
      </c>
      <c r="O13" s="66">
        <f>SUM(C13:N13)</f>
        <v>63764.62030000001</v>
      </c>
    </row>
    <row r="14" spans="1:15" ht="12.75">
      <c r="A14" s="62" t="s">
        <v>241</v>
      </c>
      <c r="B14" s="63">
        <f>0.06226-0.005</f>
        <v>0.057260000000000005</v>
      </c>
      <c r="C14" s="66">
        <f>C36*$B$14</f>
        <v>887415.4800000001</v>
      </c>
      <c r="D14" s="66">
        <f aca="true" t="shared" si="1" ref="D14:N14">D36*$B$14</f>
        <v>714261.2400000001</v>
      </c>
      <c r="E14" s="66">
        <f t="shared" si="1"/>
        <v>885010.56</v>
      </c>
      <c r="F14" s="66">
        <f t="shared" si="1"/>
        <v>829697.4</v>
      </c>
      <c r="G14" s="66">
        <f t="shared" si="1"/>
        <v>887415.4800000001</v>
      </c>
      <c r="H14" s="66">
        <f t="shared" si="1"/>
        <v>829697.4</v>
      </c>
      <c r="I14" s="66">
        <f t="shared" si="1"/>
        <v>887415.4800000001</v>
      </c>
      <c r="J14" s="66">
        <f t="shared" si="1"/>
        <v>887415.4800000001</v>
      </c>
      <c r="K14" s="66">
        <f t="shared" si="1"/>
        <v>829697.4</v>
      </c>
      <c r="L14" s="66">
        <f t="shared" si="1"/>
        <v>887415.4800000001</v>
      </c>
      <c r="M14" s="66">
        <f t="shared" si="1"/>
        <v>829697.4</v>
      </c>
      <c r="N14" s="66">
        <f t="shared" si="1"/>
        <v>887415.4800000001</v>
      </c>
      <c r="O14" s="66">
        <f>SUM(C14:N14)</f>
        <v>10242554.280000003</v>
      </c>
    </row>
    <row r="15" spans="1:15" ht="12.75">
      <c r="A15" s="62" t="s">
        <v>280</v>
      </c>
      <c r="C15" s="66">
        <f>C11-C12-C13</f>
        <v>-47598.51135</v>
      </c>
      <c r="D15" s="66">
        <f aca="true" t="shared" si="2" ref="D15:N15">D11-D12-D13</f>
        <v>-16535.895000000004</v>
      </c>
      <c r="E15" s="66">
        <f t="shared" si="2"/>
        <v>-11306.524999999996</v>
      </c>
      <c r="F15" s="66">
        <f t="shared" si="2"/>
        <v>6299.709999999996</v>
      </c>
      <c r="G15" s="66">
        <f t="shared" si="2"/>
        <v>100993.18835</v>
      </c>
      <c r="H15" s="66">
        <f t="shared" si="2"/>
        <v>-3565.7193000000043</v>
      </c>
      <c r="I15" s="66">
        <f t="shared" si="2"/>
        <v>115615.12500000004</v>
      </c>
      <c r="J15" s="66">
        <f t="shared" si="2"/>
        <v>85077.20605</v>
      </c>
      <c r="K15" s="66">
        <f t="shared" si="2"/>
        <v>33698.695</v>
      </c>
      <c r="L15" s="66">
        <f t="shared" si="2"/>
        <v>132382.72300000003</v>
      </c>
      <c r="M15" s="66">
        <f t="shared" si="2"/>
        <v>74889.5455815471</v>
      </c>
      <c r="N15" s="66">
        <f t="shared" si="2"/>
        <v>12355.119957480001</v>
      </c>
      <c r="O15" s="66">
        <f>SUM(C15:N15)</f>
        <v>482304.6622890271</v>
      </c>
    </row>
    <row r="16" spans="3:15" ht="12.75">
      <c r="C16" s="66">
        <f>C14+C15</f>
        <v>839816.96865</v>
      </c>
      <c r="D16" s="66">
        <f aca="true" t="shared" si="3" ref="D16:O16">D14+D15</f>
        <v>697725.3450000001</v>
      </c>
      <c r="E16" s="66">
        <f t="shared" si="3"/>
        <v>873704.035</v>
      </c>
      <c r="F16" s="66">
        <f t="shared" si="3"/>
        <v>835997.11</v>
      </c>
      <c r="G16" s="66">
        <f t="shared" si="3"/>
        <v>988408.66835</v>
      </c>
      <c r="H16" s="66">
        <f t="shared" si="3"/>
        <v>826131.6807</v>
      </c>
      <c r="I16" s="66">
        <f t="shared" si="3"/>
        <v>1003030.6050000001</v>
      </c>
      <c r="J16" s="66">
        <f t="shared" si="3"/>
        <v>972492.6860500001</v>
      </c>
      <c r="K16" s="66">
        <f t="shared" si="3"/>
        <v>863396.095</v>
      </c>
      <c r="L16" s="66">
        <f t="shared" si="3"/>
        <v>1019798.2030000001</v>
      </c>
      <c r="M16" s="66">
        <f t="shared" si="3"/>
        <v>904586.9455815471</v>
      </c>
      <c r="N16" s="66">
        <f t="shared" si="3"/>
        <v>899770.5999574801</v>
      </c>
      <c r="O16" s="66">
        <f t="shared" si="3"/>
        <v>10724858.94228903</v>
      </c>
    </row>
    <row r="17" spans="1:15" ht="12.75">
      <c r="A17" s="63" t="s">
        <v>88</v>
      </c>
      <c r="B17" s="6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6"/>
    </row>
    <row r="18" spans="1:2" ht="12.75">
      <c r="A18" s="63" t="s">
        <v>39</v>
      </c>
      <c r="B18" s="63"/>
    </row>
    <row r="19" spans="1:15" ht="12.75">
      <c r="A19" s="69" t="s">
        <v>93</v>
      </c>
      <c r="B19" s="69"/>
      <c r="C19" s="5">
        <v>491597341.0000003</v>
      </c>
      <c r="D19" s="5">
        <v>447237069.00000006</v>
      </c>
      <c r="E19" s="5">
        <v>434583594.0663284</v>
      </c>
      <c r="F19" s="5">
        <v>342830712.6770455</v>
      </c>
      <c r="G19" s="5">
        <v>317944762.7246134</v>
      </c>
      <c r="H19" s="5">
        <v>262374957.66969824</v>
      </c>
      <c r="I19" s="5">
        <v>255826504.48412168</v>
      </c>
      <c r="J19" s="5">
        <v>256068467.12117815</v>
      </c>
      <c r="K19" s="5">
        <v>257225936.05937248</v>
      </c>
      <c r="L19" s="5">
        <v>285773310.01161015</v>
      </c>
      <c r="M19" s="5">
        <v>331972814.517241</v>
      </c>
      <c r="N19" s="5">
        <v>433996239.6558744</v>
      </c>
      <c r="O19" s="73">
        <f aca="true" t="shared" si="4" ref="O19:O30">SUM(C19:N19)</f>
        <v>4117431708.9870834</v>
      </c>
    </row>
    <row r="20" spans="1:15" ht="12.75">
      <c r="A20" s="69" t="s">
        <v>94</v>
      </c>
      <c r="B20" s="69"/>
      <c r="C20" s="5">
        <v>24531972.844606645</v>
      </c>
      <c r="D20" s="5">
        <v>23582348.746298164</v>
      </c>
      <c r="E20" s="5">
        <v>23542204.07721302</v>
      </c>
      <c r="F20" s="5">
        <v>19053331.20291841</v>
      </c>
      <c r="G20" s="5">
        <v>13564359.01430652</v>
      </c>
      <c r="H20" s="5">
        <v>9141075.003010314</v>
      </c>
      <c r="I20" s="5">
        <v>7263772.667569518</v>
      </c>
      <c r="J20" s="5">
        <v>7441492.09589796</v>
      </c>
      <c r="K20" s="5">
        <v>8327371.07233436</v>
      </c>
      <c r="L20" s="5">
        <v>11226696.750063414</v>
      </c>
      <c r="M20" s="5">
        <v>17098145.917758435</v>
      </c>
      <c r="N20" s="5">
        <v>29542563.608520996</v>
      </c>
      <c r="O20" s="73">
        <f t="shared" si="4"/>
        <v>194315333.00049773</v>
      </c>
    </row>
    <row r="21" spans="1:15" ht="12.75">
      <c r="A21" s="69" t="s">
        <v>95</v>
      </c>
      <c r="B21" s="69"/>
      <c r="C21" s="8">
        <f>SUM(C19:C20)</f>
        <v>516129313.84460694</v>
      </c>
      <c r="D21" s="8">
        <f aca="true" t="shared" si="5" ref="D21:N21">SUM(D19:D20)</f>
        <v>470819417.7462982</v>
      </c>
      <c r="E21" s="8">
        <f t="shared" si="5"/>
        <v>458125798.14354146</v>
      </c>
      <c r="F21" s="8">
        <f t="shared" si="5"/>
        <v>361884043.87996393</v>
      </c>
      <c r="G21" s="8">
        <f t="shared" si="5"/>
        <v>331509121.73892</v>
      </c>
      <c r="H21" s="8">
        <f t="shared" si="5"/>
        <v>271516032.6727086</v>
      </c>
      <c r="I21" s="8">
        <f t="shared" si="5"/>
        <v>263090277.1516912</v>
      </c>
      <c r="J21" s="8">
        <f t="shared" si="5"/>
        <v>263509959.21707612</v>
      </c>
      <c r="K21" s="8">
        <f t="shared" si="5"/>
        <v>265553307.13170683</v>
      </c>
      <c r="L21" s="8">
        <f t="shared" si="5"/>
        <v>297000006.76167357</v>
      </c>
      <c r="M21" s="8">
        <f t="shared" si="5"/>
        <v>349070960.43499947</v>
      </c>
      <c r="N21" s="8">
        <f t="shared" si="5"/>
        <v>463538803.26439536</v>
      </c>
      <c r="O21" s="73">
        <f t="shared" si="4"/>
        <v>4311747041.987582</v>
      </c>
    </row>
    <row r="22" spans="1:15" ht="12.75">
      <c r="A22" s="62" t="s">
        <v>46</v>
      </c>
      <c r="C22" s="5">
        <v>25054239.090126842</v>
      </c>
      <c r="D22" s="5">
        <v>23947308.926431797</v>
      </c>
      <c r="E22" s="5">
        <v>24778327.71529182</v>
      </c>
      <c r="F22" s="5">
        <v>19673628.478945963</v>
      </c>
      <c r="G22" s="5">
        <v>19705463.919923946</v>
      </c>
      <c r="H22" s="5">
        <v>16973750.19414236</v>
      </c>
      <c r="I22" s="5">
        <v>17470246.348917868</v>
      </c>
      <c r="J22" s="5">
        <v>17355842.138498247</v>
      </c>
      <c r="K22" s="5">
        <v>17678286.16211143</v>
      </c>
      <c r="L22" s="5">
        <v>18075941.83632879</v>
      </c>
      <c r="M22" s="5">
        <v>17737765.140632696</v>
      </c>
      <c r="N22" s="5">
        <v>22154198.209045544</v>
      </c>
      <c r="O22" s="73">
        <f t="shared" si="4"/>
        <v>240604998.1603973</v>
      </c>
    </row>
    <row r="23" spans="1:15" ht="12.75">
      <c r="A23" s="62" t="s">
        <v>47</v>
      </c>
      <c r="C23" s="5">
        <v>239579439.10776353</v>
      </c>
      <c r="D23" s="5">
        <v>227368670.79070008</v>
      </c>
      <c r="E23" s="5">
        <v>228184562.05384693</v>
      </c>
      <c r="F23" s="5">
        <v>193918198.35243177</v>
      </c>
      <c r="G23" s="5">
        <v>190109868.0163232</v>
      </c>
      <c r="H23" s="5">
        <v>189265281.33373857</v>
      </c>
      <c r="I23" s="5">
        <v>195835281.50903186</v>
      </c>
      <c r="J23" s="5">
        <v>190588359.90718496</v>
      </c>
      <c r="K23" s="5">
        <v>182428741.7169053</v>
      </c>
      <c r="L23" s="5">
        <v>197173592.92362168</v>
      </c>
      <c r="M23" s="5">
        <v>199422591.7794435</v>
      </c>
      <c r="N23" s="5">
        <v>227394363.22912452</v>
      </c>
      <c r="O23" s="73">
        <f t="shared" si="4"/>
        <v>2461268950.7201157</v>
      </c>
    </row>
    <row r="24" spans="1:15" ht="12.75">
      <c r="A24" s="62" t="s">
        <v>48</v>
      </c>
      <c r="C24" s="5">
        <v>35096557</v>
      </c>
      <c r="D24" s="5">
        <v>30777495</v>
      </c>
      <c r="E24" s="5">
        <v>37224786</v>
      </c>
      <c r="F24" s="5">
        <v>32404250</v>
      </c>
      <c r="G24" s="5">
        <v>33505033</v>
      </c>
      <c r="H24" s="5">
        <v>33139815</v>
      </c>
      <c r="I24" s="5">
        <v>37969360</v>
      </c>
      <c r="J24" s="5">
        <v>38383819</v>
      </c>
      <c r="K24" s="5">
        <v>35811295</v>
      </c>
      <c r="L24" s="5">
        <v>34843162</v>
      </c>
      <c r="M24" s="5">
        <v>32971008.12293102</v>
      </c>
      <c r="N24" s="5">
        <v>33060764.813905407</v>
      </c>
      <c r="O24" s="73">
        <f t="shared" si="4"/>
        <v>415187344.9368364</v>
      </c>
    </row>
    <row r="25" spans="1:15" ht="12.75">
      <c r="A25" s="62" t="s">
        <v>49</v>
      </c>
      <c r="C25" s="5">
        <v>23892128.986424677</v>
      </c>
      <c r="D25" s="5">
        <v>22187486.98978901</v>
      </c>
      <c r="E25" s="5">
        <v>23823017.566372495</v>
      </c>
      <c r="F25" s="5">
        <v>20227973.185708687</v>
      </c>
      <c r="G25" s="5">
        <v>20827850.85325282</v>
      </c>
      <c r="H25" s="5">
        <v>20267882.116491325</v>
      </c>
      <c r="I25" s="5">
        <v>23069569.723985806</v>
      </c>
      <c r="J25" s="5">
        <v>18904477.829306006</v>
      </c>
      <c r="K25" s="5">
        <v>21239241.473004825</v>
      </c>
      <c r="L25" s="5">
        <v>16608872.26853967</v>
      </c>
      <c r="M25" s="5">
        <v>20717128.90960718</v>
      </c>
      <c r="N25" s="5">
        <v>24025307.281967316</v>
      </c>
      <c r="O25" s="73">
        <f t="shared" si="4"/>
        <v>255790937.18444976</v>
      </c>
    </row>
    <row r="26" spans="1:15" ht="12.75">
      <c r="A26" s="62" t="s">
        <v>50</v>
      </c>
      <c r="C26" s="5">
        <v>37338669.36657387</v>
      </c>
      <c r="D26" s="5">
        <v>38770685.520580575</v>
      </c>
      <c r="E26" s="5">
        <v>43393092.019857004</v>
      </c>
      <c r="F26" s="5">
        <v>42220873.4699043</v>
      </c>
      <c r="G26" s="5">
        <v>38261549.511217296</v>
      </c>
      <c r="H26" s="5">
        <v>41597947.68831301</v>
      </c>
      <c r="I26" s="5">
        <v>41403757.83794585</v>
      </c>
      <c r="J26" s="5">
        <v>40025150.94381815</v>
      </c>
      <c r="K26" s="5">
        <v>43093385.160355315</v>
      </c>
      <c r="L26" s="5">
        <v>41794995.01671873</v>
      </c>
      <c r="M26" s="5">
        <v>41136127.63727259</v>
      </c>
      <c r="N26" s="5">
        <v>41904505.43741902</v>
      </c>
      <c r="O26" s="73">
        <f t="shared" si="4"/>
        <v>490940739.6099757</v>
      </c>
    </row>
    <row r="27" spans="1:15" ht="12.75">
      <c r="A27" s="62" t="s">
        <v>51</v>
      </c>
      <c r="C27" s="5">
        <v>77413569.44</v>
      </c>
      <c r="D27" s="5">
        <v>72775167.68</v>
      </c>
      <c r="E27" s="5">
        <v>77538009.69</v>
      </c>
      <c r="F27" s="5">
        <v>75612712.44</v>
      </c>
      <c r="G27" s="5">
        <v>76648467</v>
      </c>
      <c r="H27" s="5">
        <v>77452544.22</v>
      </c>
      <c r="I27" s="5">
        <v>77012032.9</v>
      </c>
      <c r="J27" s="5">
        <v>79399380.52000001</v>
      </c>
      <c r="K27" s="5">
        <v>80836843.09</v>
      </c>
      <c r="L27" s="5">
        <v>77490481.31</v>
      </c>
      <c r="M27" s="5">
        <v>79373258.69984713</v>
      </c>
      <c r="N27" s="5">
        <v>75071104.01097429</v>
      </c>
      <c r="O27" s="73">
        <f t="shared" si="4"/>
        <v>926623571.0008214</v>
      </c>
    </row>
    <row r="28" spans="1:15" ht="12.75">
      <c r="A28" s="62" t="s">
        <v>155</v>
      </c>
      <c r="C28" s="179">
        <v>161260512</v>
      </c>
      <c r="D28" s="179">
        <v>145654656</v>
      </c>
      <c r="E28" s="179">
        <v>159855764</v>
      </c>
      <c r="F28" s="179">
        <v>156058560</v>
      </c>
      <c r="G28" s="179">
        <v>161260512</v>
      </c>
      <c r="H28" s="179">
        <v>156058560</v>
      </c>
      <c r="I28" s="179">
        <v>161260512</v>
      </c>
      <c r="J28" s="179">
        <v>161260512</v>
      </c>
      <c r="K28" s="179">
        <v>88871560</v>
      </c>
      <c r="L28" s="179">
        <v>29673880</v>
      </c>
      <c r="M28" s="179">
        <v>37618560.00000001</v>
      </c>
      <c r="N28" s="179">
        <v>38872512</v>
      </c>
      <c r="O28" s="73">
        <f t="shared" si="4"/>
        <v>1457706100</v>
      </c>
    </row>
    <row r="29" spans="1:15" ht="12.75">
      <c r="A29" s="62" t="s">
        <v>52</v>
      </c>
      <c r="C29" s="5">
        <v>20421066</v>
      </c>
      <c r="D29" s="5">
        <v>19292747</v>
      </c>
      <c r="E29" s="5">
        <v>19378649</v>
      </c>
      <c r="F29" s="5">
        <v>15767063</v>
      </c>
      <c r="G29" s="5">
        <v>14060408</v>
      </c>
      <c r="H29" s="5">
        <v>12650029</v>
      </c>
      <c r="I29" s="5">
        <v>13607616</v>
      </c>
      <c r="J29" s="5">
        <v>13564379</v>
      </c>
      <c r="K29" s="5">
        <v>13258088</v>
      </c>
      <c r="L29" s="5">
        <v>15256829</v>
      </c>
      <c r="M29" s="5">
        <v>16706794.005903678</v>
      </c>
      <c r="N29" s="5">
        <v>19819901.316194266</v>
      </c>
      <c r="O29" s="73">
        <f t="shared" si="4"/>
        <v>193783569.32209796</v>
      </c>
    </row>
    <row r="30" spans="1:15" ht="12.75">
      <c r="A30" s="62" t="s">
        <v>53</v>
      </c>
      <c r="C30" s="5">
        <v>8861752.24295505</v>
      </c>
      <c r="D30" s="5">
        <v>8916948.142315011</v>
      </c>
      <c r="E30" s="5">
        <v>9926719.6398334</v>
      </c>
      <c r="F30" s="5">
        <v>9225098.637041202</v>
      </c>
      <c r="G30" s="5">
        <v>9906998.59548337</v>
      </c>
      <c r="H30" s="5">
        <v>8951400.126645159</v>
      </c>
      <c r="I30" s="5">
        <v>9337248.837506989</v>
      </c>
      <c r="J30" s="5">
        <v>9533539.786029493</v>
      </c>
      <c r="K30" s="5">
        <v>9875713.277327318</v>
      </c>
      <c r="L30" s="5">
        <v>9289066.42838288</v>
      </c>
      <c r="M30" s="5">
        <v>10031257.468571562</v>
      </c>
      <c r="N30" s="5">
        <v>10094127.10237779</v>
      </c>
      <c r="O30" s="73">
        <f t="shared" si="4"/>
        <v>113949870.2844692</v>
      </c>
    </row>
    <row r="32" spans="1:2" ht="12.75">
      <c r="A32" s="63" t="s">
        <v>91</v>
      </c>
      <c r="B32" s="63"/>
    </row>
    <row r="33" spans="1:6" ht="12.75">
      <c r="A33" s="62" t="s">
        <v>74</v>
      </c>
      <c r="B33" s="63"/>
      <c r="F33" s="5"/>
    </row>
    <row r="34" spans="1:15" ht="12.75">
      <c r="A34" s="62" t="s">
        <v>162</v>
      </c>
      <c r="C34" s="5">
        <v>15498000</v>
      </c>
      <c r="D34" s="5">
        <v>12474000</v>
      </c>
      <c r="E34" s="5">
        <v>15456000</v>
      </c>
      <c r="F34" s="5">
        <v>14490000</v>
      </c>
      <c r="G34" s="5">
        <v>15498000</v>
      </c>
      <c r="H34" s="5">
        <v>14490000</v>
      </c>
      <c r="I34" s="5">
        <v>15498000</v>
      </c>
      <c r="J34" s="5">
        <v>15498000</v>
      </c>
      <c r="K34" s="5">
        <v>14490000</v>
      </c>
      <c r="L34" s="5">
        <v>15498000</v>
      </c>
      <c r="M34" s="5">
        <v>14490000</v>
      </c>
      <c r="N34" s="5">
        <v>15498000</v>
      </c>
      <c r="O34" s="73">
        <f>SUM(C34:N34)</f>
        <v>178878000</v>
      </c>
    </row>
    <row r="35" spans="1:15" ht="15">
      <c r="A35" s="62" t="s">
        <v>163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6">
        <f>SUM(C35:N35)</f>
        <v>0</v>
      </c>
    </row>
    <row r="36" spans="1:15" ht="12.75">
      <c r="A36" s="62" t="s">
        <v>160</v>
      </c>
      <c r="C36" s="296">
        <f>+C34+C35</f>
        <v>15498000</v>
      </c>
      <c r="D36" s="296">
        <f aca="true" t="shared" si="6" ref="D36:N36">+D34+D35</f>
        <v>12474000</v>
      </c>
      <c r="E36" s="296">
        <f t="shared" si="6"/>
        <v>15456000</v>
      </c>
      <c r="F36" s="296">
        <f t="shared" si="6"/>
        <v>14490000</v>
      </c>
      <c r="G36" s="296">
        <f t="shared" si="6"/>
        <v>15498000</v>
      </c>
      <c r="H36" s="296">
        <f t="shared" si="6"/>
        <v>14490000</v>
      </c>
      <c r="I36" s="296">
        <f t="shared" si="6"/>
        <v>15498000</v>
      </c>
      <c r="J36" s="296">
        <f t="shared" si="6"/>
        <v>15498000</v>
      </c>
      <c r="K36" s="296">
        <f t="shared" si="6"/>
        <v>14490000</v>
      </c>
      <c r="L36" s="296">
        <f t="shared" si="6"/>
        <v>15498000</v>
      </c>
      <c r="M36" s="296">
        <f t="shared" si="6"/>
        <v>14490000</v>
      </c>
      <c r="N36" s="296">
        <f t="shared" si="6"/>
        <v>15498000</v>
      </c>
      <c r="O36" s="73">
        <f>SUM(C36:N36)</f>
        <v>178878000</v>
      </c>
    </row>
    <row r="37" ht="12.75">
      <c r="A37" s="62" t="s">
        <v>57</v>
      </c>
    </row>
    <row r="38" spans="1:15" ht="12.75">
      <c r="A38" s="62" t="s">
        <v>158</v>
      </c>
      <c r="C38" s="70">
        <v>-783477.7300000004</v>
      </c>
      <c r="D38" s="70">
        <v>-227858</v>
      </c>
      <c r="E38" s="70">
        <v>-235956</v>
      </c>
      <c r="F38" s="70">
        <v>-204727</v>
      </c>
      <c r="G38" s="70">
        <v>1415476.33</v>
      </c>
      <c r="H38" s="70">
        <v>-278700.13999999966</v>
      </c>
      <c r="I38" s="70">
        <v>-255421</v>
      </c>
      <c r="J38" s="70">
        <v>24492.790000000037</v>
      </c>
      <c r="K38" s="70">
        <v>28139</v>
      </c>
      <c r="L38" s="70">
        <v>2330392.4000000004</v>
      </c>
      <c r="M38" s="70">
        <v>16825.41000000015</v>
      </c>
      <c r="N38" s="70">
        <v>145404</v>
      </c>
      <c r="O38" s="73">
        <f>SUM(C38:N38)</f>
        <v>1974590.0600000005</v>
      </c>
    </row>
    <row r="39" spans="1:15" ht="15">
      <c r="A39" s="62" t="s">
        <v>159</v>
      </c>
      <c r="C39" s="105">
        <v>329088</v>
      </c>
      <c r="D39" s="105">
        <v>15157</v>
      </c>
      <c r="E39" s="105">
        <v>31000</v>
      </c>
      <c r="F39" s="105">
        <v>301760</v>
      </c>
      <c r="G39" s="105">
        <v>395810</v>
      </c>
      <c r="H39" s="105">
        <v>218825</v>
      </c>
      <c r="I39" s="105">
        <v>2263693</v>
      </c>
      <c r="J39" s="105">
        <v>1476267</v>
      </c>
      <c r="K39" s="105">
        <v>561691</v>
      </c>
      <c r="L39" s="105">
        <v>409428</v>
      </c>
      <c r="M39" s="105">
        <v>1293111</v>
      </c>
      <c r="N39" s="105">
        <v>54939</v>
      </c>
      <c r="O39" s="106">
        <f>SUM(C39:N39)</f>
        <v>7350769</v>
      </c>
    </row>
    <row r="40" spans="1:15" ht="12.75">
      <c r="A40" s="62" t="s">
        <v>164</v>
      </c>
      <c r="C40" s="297">
        <f>SUM(C38:C39)</f>
        <v>-454389.73000000045</v>
      </c>
      <c r="D40" s="297">
        <f aca="true" t="shared" si="7" ref="D40:N40">SUM(D38:D39)</f>
        <v>-212701</v>
      </c>
      <c r="E40" s="297">
        <f t="shared" si="7"/>
        <v>-204956</v>
      </c>
      <c r="F40" s="297">
        <f t="shared" si="7"/>
        <v>97033</v>
      </c>
      <c r="G40" s="297">
        <f t="shared" si="7"/>
        <v>1811286.33</v>
      </c>
      <c r="H40" s="297">
        <f t="shared" si="7"/>
        <v>-59875.139999999665</v>
      </c>
      <c r="I40" s="297">
        <f t="shared" si="7"/>
        <v>2008272</v>
      </c>
      <c r="J40" s="297">
        <f t="shared" si="7"/>
        <v>1500759.79</v>
      </c>
      <c r="K40" s="297">
        <f t="shared" si="7"/>
        <v>589830</v>
      </c>
      <c r="L40" s="297">
        <f t="shared" si="7"/>
        <v>2739820.4000000004</v>
      </c>
      <c r="M40" s="297">
        <f t="shared" si="7"/>
        <v>1309936.4100000001</v>
      </c>
      <c r="N40" s="297">
        <f t="shared" si="7"/>
        <v>200343</v>
      </c>
      <c r="O40" s="73">
        <f>SUM(C40:N40)</f>
        <v>9325359.06</v>
      </c>
    </row>
    <row r="41" spans="1:15" ht="12.75">
      <c r="A41" s="62" t="s">
        <v>161</v>
      </c>
      <c r="C41" s="107">
        <v>15750000</v>
      </c>
      <c r="D41" s="107">
        <v>15750000</v>
      </c>
      <c r="E41" s="107">
        <v>15750000</v>
      </c>
      <c r="F41" s="107">
        <v>15750000</v>
      </c>
      <c r="G41" s="107">
        <v>15750000</v>
      </c>
      <c r="H41" s="107">
        <v>15750000</v>
      </c>
      <c r="I41" s="107">
        <v>15750000</v>
      </c>
      <c r="J41" s="107">
        <v>15750000</v>
      </c>
      <c r="K41" s="107">
        <v>15750000</v>
      </c>
      <c r="L41" s="107">
        <v>15750000</v>
      </c>
      <c r="M41" s="107">
        <v>15750000</v>
      </c>
      <c r="N41" s="107">
        <v>15750000</v>
      </c>
      <c r="O41" s="73">
        <f>SUM(C41:N41)</f>
        <v>189000000</v>
      </c>
    </row>
    <row r="43" spans="1:15" ht="12.75">
      <c r="A43" s="62" t="s">
        <v>156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5">
      <c r="A44" s="62" t="s">
        <v>326</v>
      </c>
      <c r="C44" s="298">
        <v>1245505949</v>
      </c>
      <c r="D44" s="298">
        <v>1156314618.0000002</v>
      </c>
      <c r="E44" s="298">
        <v>1184464405.9999998</v>
      </c>
      <c r="F44" s="298">
        <v>1030267577.0000001</v>
      </c>
      <c r="G44" s="298">
        <v>968877822</v>
      </c>
      <c r="H44" s="298">
        <v>894632199.0000002</v>
      </c>
      <c r="I44" s="298">
        <v>940006064.0000001</v>
      </c>
      <c r="J44" s="298">
        <v>930830009.0000001</v>
      </c>
      <c r="K44" s="298">
        <v>825129619</v>
      </c>
      <c r="L44" s="298">
        <v>837703564</v>
      </c>
      <c r="M44" s="298">
        <v>903524536.6787843</v>
      </c>
      <c r="N44" s="298">
        <v>1083547903.0655928</v>
      </c>
      <c r="O44" s="73">
        <f>SUM(C44:N44)</f>
        <v>12000804266.744377</v>
      </c>
    </row>
    <row r="46" spans="1:15" ht="12.75">
      <c r="A46" s="63" t="s">
        <v>92</v>
      </c>
      <c r="B46" s="63"/>
      <c r="C46" s="71">
        <v>208000</v>
      </c>
      <c r="D46" s="71">
        <v>60000</v>
      </c>
      <c r="E46" s="71">
        <v>350000</v>
      </c>
      <c r="F46" s="71">
        <v>50000</v>
      </c>
      <c r="G46" s="71">
        <v>176000</v>
      </c>
      <c r="H46" s="71">
        <v>0</v>
      </c>
      <c r="I46" s="71">
        <v>1076000</v>
      </c>
      <c r="J46" s="71">
        <v>1230000</v>
      </c>
      <c r="K46" s="71">
        <v>276000</v>
      </c>
      <c r="L46" s="71">
        <v>966000</v>
      </c>
      <c r="M46" s="71">
        <v>21256000</v>
      </c>
      <c r="N46" s="71">
        <v>-4000</v>
      </c>
      <c r="O46" s="73">
        <f>SUM(C46:N46)</f>
        <v>25644000</v>
      </c>
    </row>
    <row r="47" spans="1:15" ht="12.75">
      <c r="A47" s="63" t="s">
        <v>135</v>
      </c>
      <c r="B47" s="63"/>
      <c r="C47" s="71">
        <v>0</v>
      </c>
      <c r="D47" s="71">
        <v>2000</v>
      </c>
      <c r="E47" s="71">
        <v>11000</v>
      </c>
      <c r="F47" s="71">
        <v>2000</v>
      </c>
      <c r="G47" s="71">
        <v>4000</v>
      </c>
      <c r="H47" s="71">
        <v>0</v>
      </c>
      <c r="I47" s="71">
        <v>26000</v>
      </c>
      <c r="J47" s="71">
        <v>33000</v>
      </c>
      <c r="K47" s="71">
        <v>9000</v>
      </c>
      <c r="L47" s="71">
        <v>30000</v>
      </c>
      <c r="M47" s="71">
        <v>725000</v>
      </c>
      <c r="N47" s="71">
        <v>0</v>
      </c>
      <c r="O47" s="73">
        <f>SUM(C47:N47)</f>
        <v>842000</v>
      </c>
    </row>
    <row r="48" spans="1:15" ht="12.75">
      <c r="A48" s="63" t="s">
        <v>44</v>
      </c>
      <c r="B48" s="63"/>
      <c r="C48" s="71">
        <f>C46+C47</f>
        <v>208000</v>
      </c>
      <c r="D48" s="71">
        <f aca="true" t="shared" si="8" ref="D48:N48">D46+D47</f>
        <v>62000</v>
      </c>
      <c r="E48" s="71">
        <f t="shared" si="8"/>
        <v>361000</v>
      </c>
      <c r="F48" s="71">
        <f t="shared" si="8"/>
        <v>52000</v>
      </c>
      <c r="G48" s="71">
        <f t="shared" si="8"/>
        <v>180000</v>
      </c>
      <c r="H48" s="71">
        <f t="shared" si="8"/>
        <v>0</v>
      </c>
      <c r="I48" s="71">
        <f t="shared" si="8"/>
        <v>1102000</v>
      </c>
      <c r="J48" s="71">
        <f t="shared" si="8"/>
        <v>1263000</v>
      </c>
      <c r="K48" s="71">
        <f t="shared" si="8"/>
        <v>285000</v>
      </c>
      <c r="L48" s="71">
        <f t="shared" si="8"/>
        <v>996000</v>
      </c>
      <c r="M48" s="71">
        <f t="shared" si="8"/>
        <v>21981000</v>
      </c>
      <c r="N48" s="71">
        <f t="shared" si="8"/>
        <v>-4000</v>
      </c>
      <c r="O48" s="71">
        <f>O46+O47</f>
        <v>26486000</v>
      </c>
    </row>
    <row r="49" ht="12.75">
      <c r="F49" s="74"/>
    </row>
    <row r="50" spans="1:15" ht="12.75">
      <c r="A50" s="63" t="s">
        <v>136</v>
      </c>
      <c r="C50" s="71">
        <v>1245505949</v>
      </c>
      <c r="D50" s="71">
        <v>1156314618.0000002</v>
      </c>
      <c r="E50" s="71">
        <v>1184464405.9999998</v>
      </c>
      <c r="F50" s="71">
        <v>1030267577.0000001</v>
      </c>
      <c r="G50" s="71">
        <v>968877822</v>
      </c>
      <c r="H50" s="71">
        <v>894632199.0000002</v>
      </c>
      <c r="I50" s="71">
        <v>940006064.0000001</v>
      </c>
      <c r="J50" s="71">
        <v>930830009.0000001</v>
      </c>
      <c r="K50" s="71">
        <v>825129619</v>
      </c>
      <c r="L50" s="71">
        <v>837703564</v>
      </c>
      <c r="M50" s="71">
        <v>903524536.6787843</v>
      </c>
      <c r="N50" s="71">
        <v>1083547903.0655928</v>
      </c>
      <c r="O50" s="73">
        <f>SUM(C50:N50)</f>
        <v>12000804266.744377</v>
      </c>
    </row>
    <row r="51" spans="1:15" ht="12.75">
      <c r="A51" s="63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3"/>
    </row>
    <row r="52" spans="1:15" ht="12.75">
      <c r="A52" s="75" t="s">
        <v>55</v>
      </c>
      <c r="B52" s="63"/>
      <c r="C52" s="70">
        <v>159693344</v>
      </c>
      <c r="D52" s="70">
        <v>150509400</v>
      </c>
      <c r="E52" s="70">
        <v>169463371</v>
      </c>
      <c r="F52" s="70">
        <v>169151051</v>
      </c>
      <c r="G52" s="70">
        <v>178375532</v>
      </c>
      <c r="H52" s="70">
        <v>156522315</v>
      </c>
      <c r="I52" s="70">
        <v>178918489</v>
      </c>
      <c r="J52" s="70">
        <v>163566049</v>
      </c>
      <c r="K52" s="70">
        <v>85857834</v>
      </c>
      <c r="L52" s="70">
        <v>25729147</v>
      </c>
      <c r="M52" s="70">
        <v>37618560.00000001</v>
      </c>
      <c r="N52" s="70">
        <v>38872512</v>
      </c>
      <c r="O52" s="70">
        <f aca="true" t="shared" si="9" ref="O52:O59">SUM(C52:N52)</f>
        <v>1514277604</v>
      </c>
    </row>
    <row r="53" spans="1:15" ht="12.75">
      <c r="A53" s="62" t="s">
        <v>247</v>
      </c>
      <c r="C53" s="121">
        <v>911840.5199999999</v>
      </c>
      <c r="D53" s="121">
        <v>748427.42</v>
      </c>
      <c r="E53" s="121">
        <v>967173.93</v>
      </c>
      <c r="F53" s="121">
        <v>1082079.22</v>
      </c>
      <c r="G53" s="121">
        <v>1231461.8499999999</v>
      </c>
      <c r="H53" s="121">
        <v>891466.96</v>
      </c>
      <c r="I53" s="121">
        <v>1185488.98</v>
      </c>
      <c r="J53" s="121">
        <v>837950.6</v>
      </c>
      <c r="K53" s="121">
        <v>315620.7</v>
      </c>
      <c r="L53" s="121">
        <v>166058.16</v>
      </c>
      <c r="M53" s="121">
        <v>0</v>
      </c>
      <c r="N53" s="121">
        <v>0</v>
      </c>
      <c r="O53" s="121">
        <f t="shared" si="9"/>
        <v>8337568.339999999</v>
      </c>
    </row>
    <row r="54" spans="1:15" ht="12.75">
      <c r="A54" s="62" t="s">
        <v>248</v>
      </c>
      <c r="C54" s="318">
        <v>-1382121.7523976963</v>
      </c>
      <c r="D54" s="318">
        <v>-537284.2065489651</v>
      </c>
      <c r="E54" s="318">
        <v>-556069.43</v>
      </c>
      <c r="F54" s="318">
        <v>-465880.50847775594</v>
      </c>
      <c r="G54" s="318">
        <v>-440559.5536879165</v>
      </c>
      <c r="H54" s="318">
        <v>-875870.1575196779</v>
      </c>
      <c r="I54" s="318">
        <v>-436122.0411785896</v>
      </c>
      <c r="J54" s="318">
        <v>-743442.389338159</v>
      </c>
      <c r="K54" s="318">
        <v>-462807.23000000004</v>
      </c>
      <c r="L54" s="318">
        <v>-187649.36000000002</v>
      </c>
      <c r="M54" s="121">
        <v>0</v>
      </c>
      <c r="N54" s="121">
        <v>0</v>
      </c>
      <c r="O54" s="318">
        <f t="shared" si="9"/>
        <v>-6087806.629148761</v>
      </c>
    </row>
    <row r="55" ht="12.75">
      <c r="O55" s="70"/>
    </row>
    <row r="56" spans="1:15" ht="12.75">
      <c r="A56" s="62" t="s">
        <v>249</v>
      </c>
      <c r="C56" s="70">
        <v>161260512</v>
      </c>
      <c r="D56" s="70">
        <v>145654656</v>
      </c>
      <c r="E56" s="70">
        <v>159855764</v>
      </c>
      <c r="F56" s="70">
        <v>156058560</v>
      </c>
      <c r="G56" s="70">
        <v>161260512</v>
      </c>
      <c r="H56" s="70">
        <v>156058560</v>
      </c>
      <c r="I56" s="70">
        <v>161260512</v>
      </c>
      <c r="J56" s="70">
        <v>161260512</v>
      </c>
      <c r="K56" s="70">
        <v>88871560</v>
      </c>
      <c r="L56" s="70">
        <v>29673880</v>
      </c>
      <c r="M56" s="70">
        <v>37618560.00000001</v>
      </c>
      <c r="N56" s="70">
        <v>38872512</v>
      </c>
      <c r="O56" s="70">
        <f t="shared" si="9"/>
        <v>1457706100</v>
      </c>
    </row>
    <row r="57" spans="1:15" ht="12.75">
      <c r="A57" s="62" t="s">
        <v>250</v>
      </c>
      <c r="C57" s="70">
        <v>15012564</v>
      </c>
      <c r="D57" s="70">
        <v>15056207</v>
      </c>
      <c r="E57" s="70">
        <v>19570553</v>
      </c>
      <c r="F57" s="70">
        <v>22121606</v>
      </c>
      <c r="G57" s="70">
        <v>25816712</v>
      </c>
      <c r="H57" s="70">
        <v>18695903</v>
      </c>
      <c r="I57" s="70">
        <v>24667696</v>
      </c>
      <c r="J57" s="70">
        <v>18538699</v>
      </c>
      <c r="K57" s="70">
        <v>7469484</v>
      </c>
      <c r="L57" s="70">
        <v>4011648</v>
      </c>
      <c r="M57" s="70">
        <v>0</v>
      </c>
      <c r="N57" s="70">
        <v>0</v>
      </c>
      <c r="O57" s="70">
        <f t="shared" si="9"/>
        <v>170961072</v>
      </c>
    </row>
    <row r="58" spans="1:15" ht="12.75">
      <c r="A58" s="62" t="s">
        <v>251</v>
      </c>
      <c r="C58" s="70">
        <v>-16394033</v>
      </c>
      <c r="D58" s="70">
        <v>-9633548</v>
      </c>
      <c r="E58" s="70">
        <v>-9749308</v>
      </c>
      <c r="F58" s="70">
        <v>-9029115</v>
      </c>
      <c r="G58" s="70">
        <v>-8698066</v>
      </c>
      <c r="H58" s="70">
        <v>-16296224</v>
      </c>
      <c r="I58" s="70">
        <v>-6472319</v>
      </c>
      <c r="J58" s="70">
        <v>-15467061</v>
      </c>
      <c r="K58" s="70">
        <v>-10285444</v>
      </c>
      <c r="L58" s="70">
        <v>-4192415</v>
      </c>
      <c r="M58" s="70">
        <v>0</v>
      </c>
      <c r="N58" s="70">
        <v>0</v>
      </c>
      <c r="O58" s="70">
        <f t="shared" si="9"/>
        <v>-106217533</v>
      </c>
    </row>
    <row r="59" spans="1:15" ht="12.75">
      <c r="A59" s="62" t="s">
        <v>252</v>
      </c>
      <c r="C59" s="70">
        <v>-185699</v>
      </c>
      <c r="D59" s="70">
        <v>-567915</v>
      </c>
      <c r="E59" s="70">
        <v>-213638</v>
      </c>
      <c r="F59" s="70">
        <v>0</v>
      </c>
      <c r="G59" s="70">
        <v>-3626</v>
      </c>
      <c r="H59" s="70">
        <v>-1935924</v>
      </c>
      <c r="I59" s="70">
        <v>-537400</v>
      </c>
      <c r="J59" s="70">
        <v>-766101</v>
      </c>
      <c r="K59" s="70">
        <v>-197766</v>
      </c>
      <c r="L59" s="70">
        <v>-3763966</v>
      </c>
      <c r="M59" s="70">
        <v>0</v>
      </c>
      <c r="N59" s="70">
        <v>0</v>
      </c>
      <c r="O59" s="70">
        <f t="shared" si="9"/>
        <v>-8172035</v>
      </c>
    </row>
    <row r="60" spans="1:15" ht="12.75">
      <c r="A60" s="62" t="s">
        <v>253</v>
      </c>
      <c r="C60" s="70">
        <f>SUM(C57:C59)</f>
        <v>-1567168</v>
      </c>
      <c r="D60" s="70">
        <f aca="true" t="shared" si="10" ref="D60:N60">SUM(D57:D59)</f>
        <v>4854744</v>
      </c>
      <c r="E60" s="70">
        <f t="shared" si="10"/>
        <v>9607607</v>
      </c>
      <c r="F60" s="70">
        <f t="shared" si="10"/>
        <v>13092491</v>
      </c>
      <c r="G60" s="70">
        <f t="shared" si="10"/>
        <v>17115020</v>
      </c>
      <c r="H60" s="70">
        <f t="shared" si="10"/>
        <v>463755</v>
      </c>
      <c r="I60" s="70">
        <f t="shared" si="10"/>
        <v>17657977</v>
      </c>
      <c r="J60" s="70">
        <f t="shared" si="10"/>
        <v>2305537</v>
      </c>
      <c r="K60" s="70">
        <f t="shared" si="10"/>
        <v>-3013726</v>
      </c>
      <c r="L60" s="70">
        <f t="shared" si="10"/>
        <v>-3944733</v>
      </c>
      <c r="M60" s="70">
        <f t="shared" si="10"/>
        <v>0</v>
      </c>
      <c r="N60" s="70">
        <f t="shared" si="10"/>
        <v>0</v>
      </c>
      <c r="O60" s="70">
        <f>SUM(C60:N60)</f>
        <v>56571504</v>
      </c>
    </row>
    <row r="61" spans="3:15" ht="12.75"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ht="12.75">
      <c r="E62" s="76"/>
    </row>
    <row r="63" spans="1:2" ht="15.75">
      <c r="A63" s="122" t="s">
        <v>254</v>
      </c>
      <c r="B63" s="122"/>
    </row>
    <row r="64" spans="1:2" ht="15.75">
      <c r="A64" s="122"/>
      <c r="B64" s="122"/>
    </row>
    <row r="65" spans="1:2" ht="12.75">
      <c r="A65" s="63" t="s">
        <v>39</v>
      </c>
      <c r="B65" s="63"/>
    </row>
    <row r="66" spans="1:15" ht="12.75">
      <c r="A66" s="67" t="s">
        <v>95</v>
      </c>
      <c r="B66" s="67"/>
      <c r="C66" s="128">
        <v>24469690.769372813</v>
      </c>
      <c r="D66" s="128">
        <v>22321548.595351998</v>
      </c>
      <c r="E66" s="128">
        <v>21719744.089985296</v>
      </c>
      <c r="F66" s="128">
        <v>17156922.52034909</v>
      </c>
      <c r="G66" s="128">
        <v>15716847.461642195</v>
      </c>
      <c r="H66" s="128">
        <v>12872575.109013112</v>
      </c>
      <c r="I66" s="128">
        <v>12473110.03976168</v>
      </c>
      <c r="J66" s="128">
        <v>12493007.166481579</v>
      </c>
      <c r="K66" s="128">
        <v>12589882.291114222</v>
      </c>
      <c r="L66" s="128">
        <v>14080770.320570944</v>
      </c>
      <c r="M66" s="128">
        <v>16549454.234223323</v>
      </c>
      <c r="N66" s="128">
        <v>21976374.66276498</v>
      </c>
      <c r="O66" s="74">
        <f aca="true" t="shared" si="11" ref="O66:O89">SUM(C66:N66)</f>
        <v>204419927.2606312</v>
      </c>
    </row>
    <row r="67" spans="1:15" ht="12.75">
      <c r="A67" s="62" t="s">
        <v>46</v>
      </c>
      <c r="C67" s="128">
        <v>1221644.6980345848</v>
      </c>
      <c r="D67" s="128">
        <v>1167670.7832528143</v>
      </c>
      <c r="E67" s="128">
        <v>1208191.2593976292</v>
      </c>
      <c r="F67" s="128">
        <v>959286.1246334051</v>
      </c>
      <c r="G67" s="128">
        <v>960838.4207354916</v>
      </c>
      <c r="H67" s="128">
        <v>827640.0594663814</v>
      </c>
      <c r="I67" s="128">
        <v>851849.2119732352</v>
      </c>
      <c r="J67" s="128">
        <v>846270.8626731745</v>
      </c>
      <c r="K67" s="128">
        <v>861993.2332645534</v>
      </c>
      <c r="L67" s="128">
        <v>881382.9239393917</v>
      </c>
      <c r="M67" s="128">
        <v>864893.4282572501</v>
      </c>
      <c r="N67" s="128">
        <v>1080238.704673061</v>
      </c>
      <c r="O67" s="74">
        <f t="shared" si="11"/>
        <v>11731899.710300973</v>
      </c>
    </row>
    <row r="68" spans="1:15" ht="12.75">
      <c r="A68" s="62" t="s">
        <v>47</v>
      </c>
      <c r="C68" s="128">
        <v>11842411.675096752</v>
      </c>
      <c r="D68" s="128">
        <v>11238833.397184305</v>
      </c>
      <c r="E68" s="128">
        <v>11279162.902321653</v>
      </c>
      <c r="F68" s="128">
        <v>9585376.544560703</v>
      </c>
      <c r="G68" s="128">
        <v>9397130.776046857</v>
      </c>
      <c r="H68" s="128">
        <v>9355382.856326697</v>
      </c>
      <c r="I68" s="128">
        <v>9680137.964991445</v>
      </c>
      <c r="J68" s="128">
        <v>9420782.630212152</v>
      </c>
      <c r="K68" s="128">
        <v>9017452.703066628</v>
      </c>
      <c r="L68" s="128">
        <v>9746290.69821462</v>
      </c>
      <c r="M68" s="128">
        <v>9857458.711657893</v>
      </c>
      <c r="N68" s="128">
        <v>11240103.374415625</v>
      </c>
      <c r="O68" s="74">
        <f t="shared" si="11"/>
        <v>121660524.23409534</v>
      </c>
    </row>
    <row r="69" spans="1:15" ht="12.75">
      <c r="A69" s="62" t="s">
        <v>48</v>
      </c>
      <c r="C69" s="128">
        <v>1593734.6533700002</v>
      </c>
      <c r="D69" s="128">
        <v>1397606.04795</v>
      </c>
      <c r="E69" s="128">
        <v>1690377.5322599998</v>
      </c>
      <c r="F69" s="128">
        <v>1471476.9925000002</v>
      </c>
      <c r="G69" s="128">
        <v>1521463.54853</v>
      </c>
      <c r="H69" s="128">
        <v>1504878.9991499998</v>
      </c>
      <c r="I69" s="128">
        <v>1724188.6375999996</v>
      </c>
      <c r="J69" s="128">
        <v>1743009.22079</v>
      </c>
      <c r="K69" s="128">
        <v>1626190.90595</v>
      </c>
      <c r="L69" s="128">
        <v>1582227.9864199997</v>
      </c>
      <c r="M69" s="128">
        <v>1497213.4788622975</v>
      </c>
      <c r="N69" s="128">
        <v>1501289.3301994444</v>
      </c>
      <c r="O69" s="74">
        <f t="shared" si="11"/>
        <v>18853657.333581742</v>
      </c>
    </row>
    <row r="70" spans="1:15" ht="12.75">
      <c r="A70" s="62" t="s">
        <v>49</v>
      </c>
      <c r="C70" s="128">
        <v>1115284.5810863038</v>
      </c>
      <c r="D70" s="128">
        <v>1035711.892683351</v>
      </c>
      <c r="E70" s="128">
        <v>1112058.4599982682</v>
      </c>
      <c r="F70" s="128">
        <v>944241.7883088815</v>
      </c>
      <c r="G70" s="128">
        <v>972244.0778298416</v>
      </c>
      <c r="H70" s="128">
        <v>946104.7371978151</v>
      </c>
      <c r="I70" s="128">
        <v>1076887.5147156573</v>
      </c>
      <c r="J70" s="128">
        <v>882461.0250720044</v>
      </c>
      <c r="K70" s="128">
        <v>991447.7919598653</v>
      </c>
      <c r="L70" s="128">
        <v>775302.1574954318</v>
      </c>
      <c r="M70" s="128">
        <v>967075.5775004632</v>
      </c>
      <c r="N70" s="128">
        <v>1121501.3439222341</v>
      </c>
      <c r="O70" s="74">
        <f t="shared" si="11"/>
        <v>11940320.947770119</v>
      </c>
    </row>
    <row r="71" spans="1:15" ht="12.75">
      <c r="A71" s="62" t="s">
        <v>50</v>
      </c>
      <c r="C71" s="128">
        <v>1714965.084006738</v>
      </c>
      <c r="D71" s="128">
        <v>1780737.5859602657</v>
      </c>
      <c r="E71" s="128">
        <v>1993044.7164720322</v>
      </c>
      <c r="F71" s="128">
        <v>1939204.7184727045</v>
      </c>
      <c r="G71" s="128">
        <v>1757352.9690502104</v>
      </c>
      <c r="H71" s="128">
        <v>1910593.7373242164</v>
      </c>
      <c r="I71" s="128">
        <v>1901674.5974968527</v>
      </c>
      <c r="J71" s="128">
        <v>1838355.1828495676</v>
      </c>
      <c r="K71" s="128">
        <v>1979279.1804151195</v>
      </c>
      <c r="L71" s="128">
        <v>1919644.1211178913</v>
      </c>
      <c r="M71" s="128">
        <v>1889382.34237993</v>
      </c>
      <c r="N71" s="128">
        <v>1924673.9347406556</v>
      </c>
      <c r="O71" s="74">
        <f t="shared" si="11"/>
        <v>22548908.170286182</v>
      </c>
    </row>
    <row r="72" spans="1:15" ht="12.75">
      <c r="A72" s="62" t="s">
        <v>51</v>
      </c>
      <c r="C72" s="128">
        <v>3407745.3267488</v>
      </c>
      <c r="D72" s="128">
        <v>3203562.8812735993</v>
      </c>
      <c r="E72" s="128">
        <v>3413223.1865538</v>
      </c>
      <c r="F72" s="128">
        <v>3328471.6016088</v>
      </c>
      <c r="G72" s="128">
        <v>3374065.51734</v>
      </c>
      <c r="H72" s="128">
        <v>3409460.9965643995</v>
      </c>
      <c r="I72" s="128">
        <v>3390069.6882579997</v>
      </c>
      <c r="J72" s="128">
        <v>3495160.7304903995</v>
      </c>
      <c r="K72" s="128">
        <v>3558437.8328218004</v>
      </c>
      <c r="L72" s="128">
        <v>3411130.9872661997</v>
      </c>
      <c r="M72" s="128">
        <v>3494010.8479672708</v>
      </c>
      <c r="N72" s="128">
        <v>3304629.998563086</v>
      </c>
      <c r="O72" s="74">
        <f t="shared" si="11"/>
        <v>40789969.59545616</v>
      </c>
    </row>
    <row r="73" spans="1:15" ht="12.75">
      <c r="A73" s="62" t="s">
        <v>55</v>
      </c>
      <c r="C73" s="128">
        <v>6431717.28309</v>
      </c>
      <c r="D73" s="128">
        <v>5793313.5681300005</v>
      </c>
      <c r="E73" s="128">
        <v>6374510.09118</v>
      </c>
      <c r="F73" s="128">
        <v>6231418.3008</v>
      </c>
      <c r="G73" s="128">
        <v>6438987.4579799995</v>
      </c>
      <c r="H73" s="128">
        <v>6154116.85548</v>
      </c>
      <c r="I73" s="128">
        <v>6417673.86216</v>
      </c>
      <c r="J73" s="128">
        <v>6408541.83123</v>
      </c>
      <c r="K73" s="128">
        <v>3540744.5944200004</v>
      </c>
      <c r="L73" s="128">
        <v>1034582.8660200001</v>
      </c>
      <c r="M73" s="128">
        <v>1502109.1008000004</v>
      </c>
      <c r="N73" s="128">
        <v>1552179.40416</v>
      </c>
      <c r="O73" s="74">
        <f t="shared" si="11"/>
        <v>57879895.21545</v>
      </c>
    </row>
    <row r="74" spans="1:15" ht="12.75">
      <c r="A74" s="62" t="s">
        <v>52</v>
      </c>
      <c r="C74" s="128">
        <v>926707.97508</v>
      </c>
      <c r="D74" s="128">
        <v>875504.8588599999</v>
      </c>
      <c r="E74" s="128">
        <v>879403.09162</v>
      </c>
      <c r="F74" s="128">
        <v>715509.3189399999</v>
      </c>
      <c r="G74" s="128">
        <v>638061.3150399999</v>
      </c>
      <c r="H74" s="128">
        <v>574058.31602</v>
      </c>
      <c r="I74" s="128">
        <v>617513.6140800001</v>
      </c>
      <c r="J74" s="128">
        <v>615551.51902</v>
      </c>
      <c r="K74" s="128">
        <v>601652.0334399999</v>
      </c>
      <c r="L74" s="128">
        <v>692354.9000200001</v>
      </c>
      <c r="M74" s="128">
        <v>758154.3119879087</v>
      </c>
      <c r="N74" s="128">
        <v>899427.1217288957</v>
      </c>
      <c r="O74" s="74">
        <f t="shared" si="11"/>
        <v>8793898.375836803</v>
      </c>
    </row>
    <row r="75" spans="1:15" ht="12.75">
      <c r="A75" s="62" t="s">
        <v>53</v>
      </c>
      <c r="C75" s="128">
        <v>426781.9880207152</v>
      </c>
      <c r="D75" s="128">
        <v>429440.222533891</v>
      </c>
      <c r="E75" s="128">
        <v>478070.81785437657</v>
      </c>
      <c r="F75" s="128">
        <v>444280.7503599043</v>
      </c>
      <c r="G75" s="128">
        <v>477121.0523584791</v>
      </c>
      <c r="H75" s="128">
        <v>431099.43009923084</v>
      </c>
      <c r="I75" s="128">
        <v>449681.9040143366</v>
      </c>
      <c r="J75" s="128">
        <v>459135.2760951804</v>
      </c>
      <c r="K75" s="128">
        <v>475614.3514360836</v>
      </c>
      <c r="L75" s="128">
        <v>447361.43919091945</v>
      </c>
      <c r="M75" s="128">
        <v>483105.35968640645</v>
      </c>
      <c r="N75" s="128">
        <v>486133.1612505143</v>
      </c>
      <c r="O75" s="74">
        <f t="shared" si="11"/>
        <v>5487825.752900037</v>
      </c>
    </row>
    <row r="76" spans="1:15" ht="12.75">
      <c r="A76" s="62" t="s">
        <v>106</v>
      </c>
      <c r="C76" s="74">
        <f>SUM(C66:C75)</f>
        <v>53150684.033906706</v>
      </c>
      <c r="D76" s="74">
        <f aca="true" t="shared" si="12" ref="D76:N76">SUM(D66:D75)</f>
        <v>49243929.83318022</v>
      </c>
      <c r="E76" s="74">
        <f t="shared" si="12"/>
        <v>50147786.147643045</v>
      </c>
      <c r="F76" s="74">
        <f t="shared" si="12"/>
        <v>42776188.66053349</v>
      </c>
      <c r="G76" s="74">
        <f t="shared" si="12"/>
        <v>41254112.59655307</v>
      </c>
      <c r="H76" s="74">
        <f t="shared" si="12"/>
        <v>37985911.09664185</v>
      </c>
      <c r="I76" s="74">
        <f t="shared" si="12"/>
        <v>38582787.0350512</v>
      </c>
      <c r="J76" s="74">
        <f t="shared" si="12"/>
        <v>38202275.44491406</v>
      </c>
      <c r="K76" s="74">
        <f t="shared" si="12"/>
        <v>35242694.91788828</v>
      </c>
      <c r="L76" s="74">
        <f t="shared" si="12"/>
        <v>34571048.4002554</v>
      </c>
      <c r="M76" s="74">
        <f t="shared" si="12"/>
        <v>37862857.39332274</v>
      </c>
      <c r="N76" s="74">
        <f t="shared" si="12"/>
        <v>45086551.036418505</v>
      </c>
      <c r="O76" s="74">
        <f>SUM(C76:N76)</f>
        <v>504106826.5963086</v>
      </c>
    </row>
    <row r="77" spans="6:15" ht="12.75">
      <c r="F77" s="128"/>
      <c r="O77" s="74"/>
    </row>
    <row r="78" spans="1:15" ht="12.75">
      <c r="A78" s="63" t="s">
        <v>91</v>
      </c>
      <c r="B78" s="63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4"/>
    </row>
    <row r="79" spans="1:15" ht="12.75">
      <c r="A79" s="75" t="s">
        <v>297</v>
      </c>
      <c r="B79" s="63"/>
      <c r="C79" s="128">
        <v>682221.96</v>
      </c>
      <c r="D79" s="128">
        <v>549105.48</v>
      </c>
      <c r="E79" s="128">
        <v>680373.12</v>
      </c>
      <c r="F79" s="128">
        <v>637849.7999999999</v>
      </c>
      <c r="G79" s="128">
        <v>682221.96</v>
      </c>
      <c r="H79" s="128">
        <v>637849.7999999999</v>
      </c>
      <c r="I79" s="128">
        <v>682221.96</v>
      </c>
      <c r="J79" s="128">
        <v>682221.96</v>
      </c>
      <c r="K79" s="128">
        <v>637849.7999999999</v>
      </c>
      <c r="L79" s="128">
        <v>682221.96</v>
      </c>
      <c r="M79" s="128">
        <v>637849.7999999999</v>
      </c>
      <c r="N79" s="128">
        <v>682221.96</v>
      </c>
      <c r="O79" s="74">
        <f>SUM(C79:N79)</f>
        <v>7874209.56</v>
      </c>
    </row>
    <row r="80" spans="1:15" ht="12.75">
      <c r="A80" s="75" t="s">
        <v>298</v>
      </c>
      <c r="B80" s="63"/>
      <c r="C80" s="128">
        <v>887415.48</v>
      </c>
      <c r="D80" s="128">
        <v>714261.24</v>
      </c>
      <c r="E80" s="128">
        <v>885010.5599999999</v>
      </c>
      <c r="F80" s="128">
        <v>829697.4</v>
      </c>
      <c r="G80" s="128">
        <v>887415.48</v>
      </c>
      <c r="H80" s="128">
        <v>829697.4</v>
      </c>
      <c r="I80" s="128">
        <v>887415.48</v>
      </c>
      <c r="J80" s="128">
        <v>887415.48</v>
      </c>
      <c r="K80" s="128">
        <v>829697.4</v>
      </c>
      <c r="L80" s="128">
        <v>887415.48</v>
      </c>
      <c r="M80" s="128">
        <v>829697.4</v>
      </c>
      <c r="N80" s="128">
        <v>887415.48</v>
      </c>
      <c r="O80" s="74">
        <f>SUM(C80:N80)</f>
        <v>10242554.280000003</v>
      </c>
    </row>
    <row r="81" spans="1:15" ht="12.75">
      <c r="A81" s="62" t="s">
        <v>295</v>
      </c>
      <c r="C81" s="128">
        <f>C79*'Monthly Fuel Cost Allocation'!$A$2+(1-'Monthly Fuel Cost Allocation'!$A$2)*'Data Inputs - 2011'!C80</f>
        <v>887415.48</v>
      </c>
      <c r="D81" s="128">
        <f>D79*'Monthly Fuel Cost Allocation'!$A$2+(1-'Monthly Fuel Cost Allocation'!$A$2)*'Data Inputs - 2011'!D80</f>
        <v>714261.24</v>
      </c>
      <c r="E81" s="128">
        <f>E79*'Monthly Fuel Cost Allocation'!$A$2+(1-'Monthly Fuel Cost Allocation'!$A$2)*'Data Inputs - 2011'!E80</f>
        <v>885010.5599999999</v>
      </c>
      <c r="F81" s="128">
        <f>F79*'Monthly Fuel Cost Allocation'!$A$2+(1-'Monthly Fuel Cost Allocation'!$A$2)*'Data Inputs - 2011'!F80</f>
        <v>829697.4</v>
      </c>
      <c r="G81" s="128">
        <f>G79*'Monthly Fuel Cost Allocation'!$A$2+(1-'Monthly Fuel Cost Allocation'!$A$2)*'Data Inputs - 2011'!G80</f>
        <v>887415.48</v>
      </c>
      <c r="H81" s="128">
        <f>H79*'Monthly Fuel Cost Allocation'!$A$2+(1-'Monthly Fuel Cost Allocation'!$A$2)*'Data Inputs - 2011'!H80</f>
        <v>829697.4</v>
      </c>
      <c r="I81" s="128">
        <f>I79*'Monthly Fuel Cost Allocation'!$A$2+(1-'Monthly Fuel Cost Allocation'!$A$2)*'Data Inputs - 2011'!I80</f>
        <v>887415.48</v>
      </c>
      <c r="J81" s="128">
        <f>J79*'Monthly Fuel Cost Allocation'!$A$2+(1-'Monthly Fuel Cost Allocation'!$A$2)*'Data Inputs - 2011'!J80</f>
        <v>887415.48</v>
      </c>
      <c r="K81" s="128">
        <f>K79*'Monthly Fuel Cost Allocation'!$A$2+(1-'Monthly Fuel Cost Allocation'!$A$2)*'Data Inputs - 2011'!K80</f>
        <v>829697.4</v>
      </c>
      <c r="L81" s="128">
        <f>L79*'Monthly Fuel Cost Allocation'!$A$2+(1-'Monthly Fuel Cost Allocation'!$A$2)*'Data Inputs - 2011'!L80</f>
        <v>887415.48</v>
      </c>
      <c r="M81" s="128">
        <f>M79*'Monthly Fuel Cost Allocation'!$A$2+(1-'Monthly Fuel Cost Allocation'!$A$2)*'Data Inputs - 2011'!M80</f>
        <v>829697.4</v>
      </c>
      <c r="N81" s="128">
        <f>N79*'Monthly Fuel Cost Allocation'!$A$2+(1-'Monthly Fuel Cost Allocation'!$A$2)*'Data Inputs - 2011'!N80</f>
        <v>887415.48</v>
      </c>
      <c r="O81" s="74">
        <f t="shared" si="11"/>
        <v>10242554.280000003</v>
      </c>
    </row>
    <row r="82" spans="1:15" ht="12.75">
      <c r="A82" s="62" t="s">
        <v>57</v>
      </c>
      <c r="O82" s="74"/>
    </row>
    <row r="83" spans="1:15" ht="12.75">
      <c r="A83" s="62" t="s">
        <v>244</v>
      </c>
      <c r="O83" s="74"/>
    </row>
    <row r="84" spans="1:15" ht="12.75">
      <c r="A84" s="62" t="s">
        <v>245</v>
      </c>
      <c r="C84" s="299"/>
      <c r="D84" s="299"/>
      <c r="E84" s="299">
        <v>0</v>
      </c>
      <c r="F84" s="299">
        <v>0</v>
      </c>
      <c r="G84" s="299">
        <v>0</v>
      </c>
      <c r="H84" s="299">
        <v>0</v>
      </c>
      <c r="I84" s="299">
        <v>0</v>
      </c>
      <c r="J84" s="299">
        <v>0</v>
      </c>
      <c r="K84" s="299">
        <v>0</v>
      </c>
      <c r="L84" s="299">
        <v>0</v>
      </c>
      <c r="M84" s="299">
        <v>0</v>
      </c>
      <c r="N84" s="299">
        <v>0</v>
      </c>
      <c r="O84" s="74">
        <v>0</v>
      </c>
    </row>
    <row r="85" spans="1:15" ht="12.75">
      <c r="A85" s="62" t="s">
        <v>106</v>
      </c>
      <c r="C85" s="62">
        <f>SUM(C81:C84)</f>
        <v>887415.48</v>
      </c>
      <c r="D85" s="62">
        <f aca="true" t="shared" si="13" ref="D85:K85">SUM(D81:D84)</f>
        <v>714261.24</v>
      </c>
      <c r="E85" s="62">
        <f t="shared" si="13"/>
        <v>885010.5599999999</v>
      </c>
      <c r="F85" s="62">
        <f t="shared" si="13"/>
        <v>829697.4</v>
      </c>
      <c r="G85" s="62">
        <f t="shared" si="13"/>
        <v>887415.48</v>
      </c>
      <c r="H85" s="62">
        <f t="shared" si="13"/>
        <v>829697.4</v>
      </c>
      <c r="I85" s="62">
        <f t="shared" si="13"/>
        <v>887415.48</v>
      </c>
      <c r="J85" s="62">
        <f t="shared" si="13"/>
        <v>887415.48</v>
      </c>
      <c r="K85" s="62">
        <f t="shared" si="13"/>
        <v>829697.4</v>
      </c>
      <c r="L85" s="62">
        <f>SUM(L81:L84)</f>
        <v>887415.48</v>
      </c>
      <c r="M85" s="62">
        <f>SUM(M81:M84)</f>
        <v>829697.4</v>
      </c>
      <c r="N85" s="62">
        <f>SUM(N81:N84)</f>
        <v>887415.48</v>
      </c>
      <c r="O85" s="74">
        <f t="shared" si="11"/>
        <v>10242554.280000003</v>
      </c>
    </row>
    <row r="86" spans="3:15" ht="12.75">
      <c r="C86" s="72"/>
      <c r="O86" s="74"/>
    </row>
    <row r="87" spans="1:15" ht="12.75">
      <c r="A87" s="62" t="s">
        <v>44</v>
      </c>
      <c r="C87" s="74">
        <f aca="true" t="shared" si="14" ref="C87:N87">C76+C85</f>
        <v>54038099.5139067</v>
      </c>
      <c r="D87" s="74">
        <f t="shared" si="14"/>
        <v>49958191.07318022</v>
      </c>
      <c r="E87" s="74">
        <f t="shared" si="14"/>
        <v>51032796.70764305</v>
      </c>
      <c r="F87" s="74">
        <f t="shared" si="14"/>
        <v>43605886.06053349</v>
      </c>
      <c r="G87" s="74">
        <f t="shared" si="14"/>
        <v>42141528.07655307</v>
      </c>
      <c r="H87" s="74">
        <f t="shared" si="14"/>
        <v>38815608.49664185</v>
      </c>
      <c r="I87" s="74">
        <f t="shared" si="14"/>
        <v>39470202.51505119</v>
      </c>
      <c r="J87" s="74">
        <f t="shared" si="14"/>
        <v>39089690.924914055</v>
      </c>
      <c r="K87" s="74">
        <f t="shared" si="14"/>
        <v>36072392.317888275</v>
      </c>
      <c r="L87" s="74">
        <f t="shared" si="14"/>
        <v>35458463.88025539</v>
      </c>
      <c r="M87" s="74">
        <f t="shared" si="14"/>
        <v>38692554.79332274</v>
      </c>
      <c r="N87" s="74">
        <f t="shared" si="14"/>
        <v>45973966.5164185</v>
      </c>
      <c r="O87" s="74">
        <f t="shared" si="11"/>
        <v>514349380.87630856</v>
      </c>
    </row>
    <row r="88" spans="1:15" ht="12.75">
      <c r="A88" s="75" t="s">
        <v>300</v>
      </c>
      <c r="C88" s="74">
        <f>C76+C79</f>
        <v>53832905.99390671</v>
      </c>
      <c r="D88" s="74">
        <f aca="true" t="shared" si="15" ref="D88:N88">D76+D79</f>
        <v>49793035.313180216</v>
      </c>
      <c r="E88" s="74">
        <f t="shared" si="15"/>
        <v>50828159.26764304</v>
      </c>
      <c r="F88" s="74">
        <f t="shared" si="15"/>
        <v>43414038.460533485</v>
      </c>
      <c r="G88" s="74">
        <f t="shared" si="15"/>
        <v>41936334.55655307</v>
      </c>
      <c r="H88" s="74">
        <f t="shared" si="15"/>
        <v>38623760.89664185</v>
      </c>
      <c r="I88" s="74">
        <f t="shared" si="15"/>
        <v>39265008.9950512</v>
      </c>
      <c r="J88" s="74">
        <f t="shared" si="15"/>
        <v>38884497.40491406</v>
      </c>
      <c r="K88" s="74">
        <f t="shared" si="15"/>
        <v>35880544.71788827</v>
      </c>
      <c r="L88" s="74">
        <f t="shared" si="15"/>
        <v>35253270.3602554</v>
      </c>
      <c r="M88" s="74">
        <f t="shared" si="15"/>
        <v>38500707.19332274</v>
      </c>
      <c r="N88" s="74">
        <f t="shared" si="15"/>
        <v>45768772.996418506</v>
      </c>
      <c r="O88" s="74">
        <f t="shared" si="11"/>
        <v>511981036.15630853</v>
      </c>
    </row>
    <row r="89" spans="1:15" ht="12.75">
      <c r="A89" s="75" t="s">
        <v>301</v>
      </c>
      <c r="C89" s="74">
        <f>C76+C80</f>
        <v>54038099.5139067</v>
      </c>
      <c r="D89" s="74">
        <f aca="true" t="shared" si="16" ref="D89:N89">D76+D80</f>
        <v>49958191.07318022</v>
      </c>
      <c r="E89" s="74">
        <f t="shared" si="16"/>
        <v>51032796.70764305</v>
      </c>
      <c r="F89" s="74">
        <f t="shared" si="16"/>
        <v>43605886.06053349</v>
      </c>
      <c r="G89" s="74">
        <f t="shared" si="16"/>
        <v>42141528.07655307</v>
      </c>
      <c r="H89" s="74">
        <f t="shared" si="16"/>
        <v>38815608.49664185</v>
      </c>
      <c r="I89" s="74">
        <f t="shared" si="16"/>
        <v>39470202.51505119</v>
      </c>
      <c r="J89" s="74">
        <f t="shared" si="16"/>
        <v>39089690.924914055</v>
      </c>
      <c r="K89" s="74">
        <f t="shared" si="16"/>
        <v>36072392.317888275</v>
      </c>
      <c r="L89" s="74">
        <f t="shared" si="16"/>
        <v>35458463.88025539</v>
      </c>
      <c r="M89" s="74">
        <f t="shared" si="16"/>
        <v>38692554.79332274</v>
      </c>
      <c r="N89" s="74">
        <f t="shared" si="16"/>
        <v>45973966.5164185</v>
      </c>
      <c r="O89" s="74">
        <f t="shared" si="11"/>
        <v>514349380.87630856</v>
      </c>
    </row>
    <row r="90" ht="12.75">
      <c r="O90" s="74"/>
    </row>
    <row r="91" spans="1:2" ht="12.75">
      <c r="A91" s="63" t="s">
        <v>255</v>
      </c>
      <c r="B91" s="63"/>
    </row>
    <row r="92" spans="1:2" ht="12.75">
      <c r="A92" s="63"/>
      <c r="B92" s="63"/>
    </row>
    <row r="93" ht="12.75">
      <c r="A93" s="63" t="s">
        <v>39</v>
      </c>
    </row>
    <row r="94" spans="1:15" ht="12.75">
      <c r="A94" s="67" t="s">
        <v>93</v>
      </c>
      <c r="B94" s="123">
        <v>4.741</v>
      </c>
      <c r="C94" s="124">
        <f aca="true" t="shared" si="17" ref="C94:N94">C19*$B94/100</f>
        <v>23306629.936810013</v>
      </c>
      <c r="D94" s="124">
        <f t="shared" si="17"/>
        <v>21203509.441290002</v>
      </c>
      <c r="E94" s="124">
        <f t="shared" si="17"/>
        <v>20603608.19468463</v>
      </c>
      <c r="F94" s="124">
        <f t="shared" si="17"/>
        <v>16253604.088018727</v>
      </c>
      <c r="G94" s="124">
        <f t="shared" si="17"/>
        <v>15073761.20077392</v>
      </c>
      <c r="H94" s="124">
        <f t="shared" si="17"/>
        <v>12439196.743120395</v>
      </c>
      <c r="I94" s="124">
        <f t="shared" si="17"/>
        <v>12128734.577592209</v>
      </c>
      <c r="J94" s="124">
        <f t="shared" si="17"/>
        <v>12140206.026215054</v>
      </c>
      <c r="K94" s="124">
        <f t="shared" si="17"/>
        <v>12195081.628574848</v>
      </c>
      <c r="L94" s="124">
        <f t="shared" si="17"/>
        <v>13548512.627650438</v>
      </c>
      <c r="M94" s="124">
        <f t="shared" si="17"/>
        <v>15738831.136262394</v>
      </c>
      <c r="N94" s="124">
        <f t="shared" si="17"/>
        <v>20575761.722085003</v>
      </c>
      <c r="O94" s="124">
        <f>SUM(B94:N94)</f>
        <v>195207442.06407765</v>
      </c>
    </row>
    <row r="95" spans="1:15" ht="12.75">
      <c r="A95" s="67" t="s">
        <v>94</v>
      </c>
      <c r="B95" s="123">
        <v>4.741</v>
      </c>
      <c r="C95" s="124">
        <f aca="true" t="shared" si="18" ref="C95:N95">C20*$B95/100</f>
        <v>1163060.832562801</v>
      </c>
      <c r="D95" s="124">
        <f t="shared" si="18"/>
        <v>1118039.154061996</v>
      </c>
      <c r="E95" s="124">
        <f t="shared" si="18"/>
        <v>1116135.8953006691</v>
      </c>
      <c r="F95" s="124">
        <f t="shared" si="18"/>
        <v>903318.4323303618</v>
      </c>
      <c r="G95" s="124">
        <f t="shared" si="18"/>
        <v>643086.260868272</v>
      </c>
      <c r="H95" s="124">
        <f t="shared" si="18"/>
        <v>433378.36589271895</v>
      </c>
      <c r="I95" s="124">
        <f t="shared" si="18"/>
        <v>344375.46216947085</v>
      </c>
      <c r="J95" s="124">
        <f t="shared" si="18"/>
        <v>352801.14026652224</v>
      </c>
      <c r="K95" s="124">
        <f t="shared" si="18"/>
        <v>394800.662539372</v>
      </c>
      <c r="L95" s="124">
        <f t="shared" si="18"/>
        <v>532257.6929205063</v>
      </c>
      <c r="M95" s="124">
        <f t="shared" si="18"/>
        <v>810623.0979609273</v>
      </c>
      <c r="N95" s="124">
        <f t="shared" si="18"/>
        <v>1400612.9406799802</v>
      </c>
      <c r="O95" s="124">
        <f aca="true" t="shared" si="19" ref="O95:O116">SUM(B95:N95)</f>
        <v>9212494.678553596</v>
      </c>
    </row>
    <row r="96" spans="1:15" ht="12.75">
      <c r="A96" s="67" t="s">
        <v>95</v>
      </c>
      <c r="B96" s="123"/>
      <c r="C96" s="124">
        <f>SUM(C94:C95)</f>
        <v>24469690.769372813</v>
      </c>
      <c r="D96" s="124">
        <f aca="true" t="shared" si="20" ref="D96:N96">SUM(D94:D95)</f>
        <v>22321548.595351998</v>
      </c>
      <c r="E96" s="124">
        <f t="shared" si="20"/>
        <v>21719744.089985296</v>
      </c>
      <c r="F96" s="124">
        <f t="shared" si="20"/>
        <v>17156922.52034909</v>
      </c>
      <c r="G96" s="124">
        <f t="shared" si="20"/>
        <v>15716847.461642193</v>
      </c>
      <c r="H96" s="124">
        <f t="shared" si="20"/>
        <v>12872575.109013114</v>
      </c>
      <c r="I96" s="124">
        <f t="shared" si="20"/>
        <v>12473110.03976168</v>
      </c>
      <c r="J96" s="124">
        <f t="shared" si="20"/>
        <v>12493007.166481577</v>
      </c>
      <c r="K96" s="124">
        <f t="shared" si="20"/>
        <v>12589882.29111422</v>
      </c>
      <c r="L96" s="124">
        <f t="shared" si="20"/>
        <v>14080770.320570944</v>
      </c>
      <c r="M96" s="124">
        <f t="shared" si="20"/>
        <v>16549454.234223321</v>
      </c>
      <c r="N96" s="124">
        <f t="shared" si="20"/>
        <v>21976374.66276498</v>
      </c>
      <c r="O96" s="124">
        <f t="shared" si="19"/>
        <v>204419927.2606312</v>
      </c>
    </row>
    <row r="97" spans="1:15" ht="12.75">
      <c r="A97" s="62" t="s">
        <v>46</v>
      </c>
      <c r="B97" s="125">
        <v>4.876</v>
      </c>
      <c r="C97" s="124">
        <f aca="true" t="shared" si="21" ref="C97:N97">C22*$B97/100</f>
        <v>1221644.698034585</v>
      </c>
      <c r="D97" s="124">
        <f t="shared" si="21"/>
        <v>1167670.7832528146</v>
      </c>
      <c r="E97" s="124">
        <f t="shared" si="21"/>
        <v>1208191.2593976292</v>
      </c>
      <c r="F97" s="124">
        <f t="shared" si="21"/>
        <v>959286.1246334052</v>
      </c>
      <c r="G97" s="124">
        <f t="shared" si="21"/>
        <v>960838.4207354917</v>
      </c>
      <c r="H97" s="124">
        <f t="shared" si="21"/>
        <v>827640.0594663816</v>
      </c>
      <c r="I97" s="124">
        <f t="shared" si="21"/>
        <v>851849.2119732354</v>
      </c>
      <c r="J97" s="124">
        <f t="shared" si="21"/>
        <v>846270.8626731746</v>
      </c>
      <c r="K97" s="124">
        <f t="shared" si="21"/>
        <v>861993.2332645534</v>
      </c>
      <c r="L97" s="124">
        <f t="shared" si="21"/>
        <v>881382.9239393919</v>
      </c>
      <c r="M97" s="124">
        <f t="shared" si="21"/>
        <v>864893.4282572503</v>
      </c>
      <c r="N97" s="124">
        <f t="shared" si="21"/>
        <v>1080238.7046730607</v>
      </c>
      <c r="O97" s="124">
        <f t="shared" si="19"/>
        <v>11731904.586300973</v>
      </c>
    </row>
    <row r="98" spans="1:15" ht="12.75">
      <c r="A98" s="62" t="s">
        <v>47</v>
      </c>
      <c r="B98" s="125">
        <v>4.943</v>
      </c>
      <c r="C98" s="124">
        <f aca="true" t="shared" si="22" ref="C98:N98">C23*$B98/100</f>
        <v>11842411.67509675</v>
      </c>
      <c r="D98" s="124">
        <f t="shared" si="22"/>
        <v>11238833.397184303</v>
      </c>
      <c r="E98" s="124">
        <f t="shared" si="22"/>
        <v>11279162.902321653</v>
      </c>
      <c r="F98" s="124">
        <f t="shared" si="22"/>
        <v>9585376.544560703</v>
      </c>
      <c r="G98" s="124">
        <f t="shared" si="22"/>
        <v>9397130.776046855</v>
      </c>
      <c r="H98" s="124">
        <f t="shared" si="22"/>
        <v>9355382.856326697</v>
      </c>
      <c r="I98" s="124">
        <f t="shared" si="22"/>
        <v>9680137.964991445</v>
      </c>
      <c r="J98" s="124">
        <f t="shared" si="22"/>
        <v>9420782.630212152</v>
      </c>
      <c r="K98" s="124">
        <f t="shared" si="22"/>
        <v>9017452.703066628</v>
      </c>
      <c r="L98" s="124">
        <f t="shared" si="22"/>
        <v>9746290.698214618</v>
      </c>
      <c r="M98" s="124">
        <f t="shared" si="22"/>
        <v>9857458.711657891</v>
      </c>
      <c r="N98" s="124">
        <f t="shared" si="22"/>
        <v>11240103.374415625</v>
      </c>
      <c r="O98" s="124">
        <f t="shared" si="19"/>
        <v>121660529.17709534</v>
      </c>
    </row>
    <row r="99" spans="1:15" ht="12.75">
      <c r="A99" s="62" t="s">
        <v>48</v>
      </c>
      <c r="B99" s="125">
        <v>4.541</v>
      </c>
      <c r="C99" s="124">
        <f aca="true" t="shared" si="23" ref="C99:N99">C24*$B99/100</f>
        <v>1593734.6533700002</v>
      </c>
      <c r="D99" s="124">
        <f t="shared" si="23"/>
        <v>1397606.0479500003</v>
      </c>
      <c r="E99" s="124">
        <f t="shared" si="23"/>
        <v>1690377.53226</v>
      </c>
      <c r="F99" s="124">
        <f t="shared" si="23"/>
        <v>1471476.9925</v>
      </c>
      <c r="G99" s="124">
        <f t="shared" si="23"/>
        <v>1521463.5485300003</v>
      </c>
      <c r="H99" s="124">
        <f t="shared" si="23"/>
        <v>1504878.9991500003</v>
      </c>
      <c r="I99" s="124">
        <f t="shared" si="23"/>
        <v>1724188.6376000002</v>
      </c>
      <c r="J99" s="124">
        <f t="shared" si="23"/>
        <v>1743009.2207900002</v>
      </c>
      <c r="K99" s="124">
        <f t="shared" si="23"/>
        <v>1626190.90595</v>
      </c>
      <c r="L99" s="124">
        <f t="shared" si="23"/>
        <v>1582227.9864200002</v>
      </c>
      <c r="M99" s="124">
        <f t="shared" si="23"/>
        <v>1497213.4788622975</v>
      </c>
      <c r="N99" s="124">
        <f t="shared" si="23"/>
        <v>1501289.3301994447</v>
      </c>
      <c r="O99" s="124">
        <f t="shared" si="19"/>
        <v>18853661.874581747</v>
      </c>
    </row>
    <row r="100" spans="1:15" ht="12.75">
      <c r="A100" s="62" t="s">
        <v>49</v>
      </c>
      <c r="B100" s="125">
        <v>4.668</v>
      </c>
      <c r="C100" s="124">
        <f aca="true" t="shared" si="24" ref="C100:N100">C25*$B100/100</f>
        <v>1115284.5810863038</v>
      </c>
      <c r="D100" s="124">
        <f t="shared" si="24"/>
        <v>1035711.8926833511</v>
      </c>
      <c r="E100" s="124">
        <f t="shared" si="24"/>
        <v>1112058.459998268</v>
      </c>
      <c r="F100" s="124">
        <f t="shared" si="24"/>
        <v>944241.7883088816</v>
      </c>
      <c r="G100" s="124">
        <f t="shared" si="24"/>
        <v>972244.0778298416</v>
      </c>
      <c r="H100" s="124">
        <f t="shared" si="24"/>
        <v>946104.737197815</v>
      </c>
      <c r="I100" s="124">
        <f t="shared" si="24"/>
        <v>1076887.5147156576</v>
      </c>
      <c r="J100" s="124">
        <f t="shared" si="24"/>
        <v>882461.0250720043</v>
      </c>
      <c r="K100" s="124">
        <f t="shared" si="24"/>
        <v>991447.7919598653</v>
      </c>
      <c r="L100" s="124">
        <f t="shared" si="24"/>
        <v>775302.157495432</v>
      </c>
      <c r="M100" s="124">
        <f t="shared" si="24"/>
        <v>967075.5775004631</v>
      </c>
      <c r="N100" s="124">
        <f t="shared" si="24"/>
        <v>1121501.3439222344</v>
      </c>
      <c r="O100" s="124">
        <f t="shared" si="19"/>
        <v>11940325.615770118</v>
      </c>
    </row>
    <row r="101" spans="1:15" ht="12.75">
      <c r="A101" s="62" t="s">
        <v>50</v>
      </c>
      <c r="B101" s="125">
        <v>4.593</v>
      </c>
      <c r="C101" s="124">
        <f aca="true" t="shared" si="25" ref="C101:N101">C26*$B101/100</f>
        <v>1714965.0840067377</v>
      </c>
      <c r="D101" s="124">
        <f t="shared" si="25"/>
        <v>1780737.5859602657</v>
      </c>
      <c r="E101" s="124">
        <f t="shared" si="25"/>
        <v>1993044.716472032</v>
      </c>
      <c r="F101" s="124">
        <f t="shared" si="25"/>
        <v>1939204.7184727045</v>
      </c>
      <c r="G101" s="124">
        <f t="shared" si="25"/>
        <v>1757352.9690502104</v>
      </c>
      <c r="H101" s="124">
        <f t="shared" si="25"/>
        <v>1910593.7373242164</v>
      </c>
      <c r="I101" s="124">
        <f t="shared" si="25"/>
        <v>1901674.597496853</v>
      </c>
      <c r="J101" s="124">
        <f t="shared" si="25"/>
        <v>1838355.1828495678</v>
      </c>
      <c r="K101" s="124">
        <f t="shared" si="25"/>
        <v>1979279.1804151195</v>
      </c>
      <c r="L101" s="124">
        <f t="shared" si="25"/>
        <v>1919644.1211178913</v>
      </c>
      <c r="M101" s="124">
        <f t="shared" si="25"/>
        <v>1889382.34237993</v>
      </c>
      <c r="N101" s="124">
        <f t="shared" si="25"/>
        <v>1924673.9347406554</v>
      </c>
      <c r="O101" s="124">
        <f t="shared" si="19"/>
        <v>22548912.76328618</v>
      </c>
    </row>
    <row r="102" spans="1:15" ht="12.75">
      <c r="A102" s="62" t="s">
        <v>51</v>
      </c>
      <c r="B102" s="125">
        <v>4.402</v>
      </c>
      <c r="C102" s="124">
        <f aca="true" t="shared" si="26" ref="C102:N102">C27*$B102/100</f>
        <v>3407745.3267488005</v>
      </c>
      <c r="D102" s="124">
        <f t="shared" si="26"/>
        <v>3203562.8812736003</v>
      </c>
      <c r="E102" s="124">
        <f t="shared" si="26"/>
        <v>3413223.1865538</v>
      </c>
      <c r="F102" s="124">
        <f t="shared" si="26"/>
        <v>3328471.6016088002</v>
      </c>
      <c r="G102" s="124">
        <f t="shared" si="26"/>
        <v>3374065.5173400003</v>
      </c>
      <c r="H102" s="124">
        <f t="shared" si="26"/>
        <v>3409460.9965644004</v>
      </c>
      <c r="I102" s="124">
        <f t="shared" si="26"/>
        <v>3390069.6882580006</v>
      </c>
      <c r="J102" s="124">
        <f t="shared" si="26"/>
        <v>3495160.730490401</v>
      </c>
      <c r="K102" s="124">
        <f t="shared" si="26"/>
        <v>3558437.8328218</v>
      </c>
      <c r="L102" s="124">
        <f t="shared" si="26"/>
        <v>3411130.9872662</v>
      </c>
      <c r="M102" s="124">
        <f t="shared" si="26"/>
        <v>3494010.8479672708</v>
      </c>
      <c r="N102" s="124">
        <f t="shared" si="26"/>
        <v>3304629.998563088</v>
      </c>
      <c r="O102" s="124">
        <f t="shared" si="19"/>
        <v>40789973.997456156</v>
      </c>
    </row>
    <row r="103" spans="1:15" ht="12.75">
      <c r="A103" s="62" t="s">
        <v>55</v>
      </c>
      <c r="B103" s="125">
        <v>3.993</v>
      </c>
      <c r="C103" s="124">
        <f>C28*$B103/100</f>
        <v>6439132.24416</v>
      </c>
      <c r="D103" s="124">
        <f aca="true" t="shared" si="27" ref="D103:N103">D28*$B103/100</f>
        <v>5815990.41408</v>
      </c>
      <c r="E103" s="124">
        <f>E28*$B103/100</f>
        <v>6383040.65652</v>
      </c>
      <c r="F103" s="124">
        <f t="shared" si="27"/>
        <v>6231418.300799999</v>
      </c>
      <c r="G103" s="124">
        <f t="shared" si="27"/>
        <v>6439132.24416</v>
      </c>
      <c r="H103" s="124">
        <f t="shared" si="27"/>
        <v>6231418.300799999</v>
      </c>
      <c r="I103" s="124">
        <f t="shared" si="27"/>
        <v>6439132.24416</v>
      </c>
      <c r="J103" s="124">
        <f t="shared" si="27"/>
        <v>6439132.24416</v>
      </c>
      <c r="K103" s="124">
        <f t="shared" si="27"/>
        <v>3548641.3907999997</v>
      </c>
      <c r="L103" s="124">
        <f t="shared" si="27"/>
        <v>1184878.0284</v>
      </c>
      <c r="M103" s="124">
        <f t="shared" si="27"/>
        <v>1502109.1008000001</v>
      </c>
      <c r="N103" s="124">
        <f t="shared" si="27"/>
        <v>1552179.4041600002</v>
      </c>
      <c r="O103" s="124">
        <f t="shared" si="19"/>
        <v>58206208.56599999</v>
      </c>
    </row>
    <row r="104" spans="1:15" ht="12.75">
      <c r="A104" s="62" t="s">
        <v>52</v>
      </c>
      <c r="B104" s="125">
        <v>4.538</v>
      </c>
      <c r="C104" s="124">
        <f aca="true" t="shared" si="28" ref="C104:N104">C29*$B104/100</f>
        <v>926707.97508</v>
      </c>
      <c r="D104" s="124">
        <f t="shared" si="28"/>
        <v>875504.85886</v>
      </c>
      <c r="E104" s="124">
        <f t="shared" si="28"/>
        <v>879403.09162</v>
      </c>
      <c r="F104" s="124">
        <f t="shared" si="28"/>
        <v>715509.3189400001</v>
      </c>
      <c r="G104" s="124">
        <f t="shared" si="28"/>
        <v>638061.31504</v>
      </c>
      <c r="H104" s="124">
        <f t="shared" si="28"/>
        <v>574058.31602</v>
      </c>
      <c r="I104" s="124">
        <f t="shared" si="28"/>
        <v>617513.61408</v>
      </c>
      <c r="J104" s="124">
        <f t="shared" si="28"/>
        <v>615551.51902</v>
      </c>
      <c r="K104" s="124">
        <f t="shared" si="28"/>
        <v>601652.03344</v>
      </c>
      <c r="L104" s="124">
        <f t="shared" si="28"/>
        <v>692354.9000200001</v>
      </c>
      <c r="M104" s="124">
        <f t="shared" si="28"/>
        <v>758154.3119879089</v>
      </c>
      <c r="N104" s="124">
        <f t="shared" si="28"/>
        <v>899427.1217288959</v>
      </c>
      <c r="O104" s="124">
        <f t="shared" si="19"/>
        <v>8793902.913836805</v>
      </c>
    </row>
    <row r="105" spans="1:15" ht="12.75">
      <c r="A105" s="62" t="s">
        <v>53</v>
      </c>
      <c r="B105" s="125">
        <v>4.816</v>
      </c>
      <c r="C105" s="124">
        <f aca="true" t="shared" si="29" ref="C105:N105">C30*$B105/100</f>
        <v>426781.9880207152</v>
      </c>
      <c r="D105" s="124">
        <f t="shared" si="29"/>
        <v>429440.2225338909</v>
      </c>
      <c r="E105" s="124">
        <f t="shared" si="29"/>
        <v>478070.8178543765</v>
      </c>
      <c r="F105" s="124">
        <f t="shared" si="29"/>
        <v>444280.75035990425</v>
      </c>
      <c r="G105" s="124">
        <f t="shared" si="29"/>
        <v>477121.05235847906</v>
      </c>
      <c r="H105" s="124">
        <f t="shared" si="29"/>
        <v>431099.43009923084</v>
      </c>
      <c r="I105" s="124">
        <f t="shared" si="29"/>
        <v>449681.9040143365</v>
      </c>
      <c r="J105" s="124">
        <f t="shared" si="29"/>
        <v>459135.27609518036</v>
      </c>
      <c r="K105" s="124">
        <f t="shared" si="29"/>
        <v>475614.3514360836</v>
      </c>
      <c r="L105" s="124">
        <f t="shared" si="29"/>
        <v>447361.43919091945</v>
      </c>
      <c r="M105" s="124">
        <f t="shared" si="29"/>
        <v>483105.3596864064</v>
      </c>
      <c r="N105" s="124">
        <f t="shared" si="29"/>
        <v>486133.1612505143</v>
      </c>
      <c r="O105" s="124">
        <f t="shared" si="19"/>
        <v>5487830.568900037</v>
      </c>
    </row>
    <row r="106" spans="1:15" ht="12.75">
      <c r="A106" s="62" t="s">
        <v>106</v>
      </c>
      <c r="B106" s="125"/>
      <c r="C106" s="124">
        <f>SUM(C96:C105)</f>
        <v>53158098.9949767</v>
      </c>
      <c r="D106" s="124">
        <f aca="true" t="shared" si="30" ref="D106:O106">SUM(D96:D105)</f>
        <v>49266606.67913022</v>
      </c>
      <c r="E106" s="124">
        <f t="shared" si="30"/>
        <v>50156316.71298305</v>
      </c>
      <c r="F106" s="124">
        <f t="shared" si="30"/>
        <v>42776188.66053349</v>
      </c>
      <c r="G106" s="124">
        <f t="shared" si="30"/>
        <v>41254257.38273307</v>
      </c>
      <c r="H106" s="124">
        <f t="shared" si="30"/>
        <v>38063212.541961856</v>
      </c>
      <c r="I106" s="124">
        <f t="shared" si="30"/>
        <v>38604245.417051196</v>
      </c>
      <c r="J106" s="124">
        <f t="shared" si="30"/>
        <v>38232865.85784406</v>
      </c>
      <c r="K106" s="124">
        <f t="shared" si="30"/>
        <v>35250591.714268275</v>
      </c>
      <c r="L106" s="124">
        <f t="shared" si="30"/>
        <v>34721343.5626354</v>
      </c>
      <c r="M106" s="124">
        <f t="shared" si="30"/>
        <v>37862857.39332273</v>
      </c>
      <c r="N106" s="124">
        <f t="shared" si="30"/>
        <v>45086551.036418505</v>
      </c>
      <c r="O106" s="124">
        <f t="shared" si="30"/>
        <v>504433177.3238585</v>
      </c>
    </row>
    <row r="107" spans="2:15" ht="12.75"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1:15" ht="12.75">
      <c r="A108" s="63" t="s">
        <v>91</v>
      </c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</row>
    <row r="109" spans="1:15" ht="12.75">
      <c r="A109" s="62" t="s">
        <v>293</v>
      </c>
      <c r="B109" s="162">
        <v>4.402</v>
      </c>
      <c r="C109" s="124">
        <f>C34*$B109/100</f>
        <v>682221.96</v>
      </c>
      <c r="D109" s="124">
        <f aca="true" t="shared" si="31" ref="D109:N109">D34*$B109/100</f>
        <v>549105.48</v>
      </c>
      <c r="E109" s="124">
        <f t="shared" si="31"/>
        <v>680373.12</v>
      </c>
      <c r="F109" s="124">
        <f t="shared" si="31"/>
        <v>637849.8</v>
      </c>
      <c r="G109" s="124">
        <f t="shared" si="31"/>
        <v>682221.96</v>
      </c>
      <c r="H109" s="124">
        <f t="shared" si="31"/>
        <v>637849.8</v>
      </c>
      <c r="I109" s="124">
        <f t="shared" si="31"/>
        <v>682221.96</v>
      </c>
      <c r="J109" s="124">
        <f t="shared" si="31"/>
        <v>682221.96</v>
      </c>
      <c r="K109" s="124">
        <f t="shared" si="31"/>
        <v>637849.8</v>
      </c>
      <c r="L109" s="124">
        <f t="shared" si="31"/>
        <v>682221.96</v>
      </c>
      <c r="M109" s="124">
        <f t="shared" si="31"/>
        <v>637849.8</v>
      </c>
      <c r="N109" s="124">
        <f t="shared" si="31"/>
        <v>682221.96</v>
      </c>
      <c r="O109" s="124">
        <f>SUM(B109:N109)</f>
        <v>7874213.961999999</v>
      </c>
    </row>
    <row r="110" spans="1:15" ht="12.75">
      <c r="A110" s="62" t="s">
        <v>294</v>
      </c>
      <c r="B110" s="162">
        <f>(0.06226-0.005)*100</f>
        <v>5.726000000000001</v>
      </c>
      <c r="C110" s="124">
        <f>C34*$B110/100</f>
        <v>887415.4800000001</v>
      </c>
      <c r="D110" s="124">
        <f aca="true" t="shared" si="32" ref="D110:N110">D34*$B110/100</f>
        <v>714261.2400000001</v>
      </c>
      <c r="E110" s="124">
        <f t="shared" si="32"/>
        <v>885010.5600000002</v>
      </c>
      <c r="F110" s="124">
        <f t="shared" si="32"/>
        <v>829697.4000000001</v>
      </c>
      <c r="G110" s="124">
        <f t="shared" si="32"/>
        <v>887415.4800000001</v>
      </c>
      <c r="H110" s="124">
        <f t="shared" si="32"/>
        <v>829697.4000000001</v>
      </c>
      <c r="I110" s="124">
        <f t="shared" si="32"/>
        <v>887415.4800000001</v>
      </c>
      <c r="J110" s="124">
        <f t="shared" si="32"/>
        <v>887415.4800000001</v>
      </c>
      <c r="K110" s="124">
        <f t="shared" si="32"/>
        <v>829697.4000000001</v>
      </c>
      <c r="L110" s="124">
        <f t="shared" si="32"/>
        <v>887415.4800000001</v>
      </c>
      <c r="M110" s="124">
        <f t="shared" si="32"/>
        <v>829697.4000000001</v>
      </c>
      <c r="N110" s="124">
        <f t="shared" si="32"/>
        <v>887415.4800000001</v>
      </c>
      <c r="O110" s="124">
        <f>SUM(B110:N110)</f>
        <v>10242560.006000003</v>
      </c>
    </row>
    <row r="111" spans="1:15" ht="12.75">
      <c r="A111" s="62" t="s">
        <v>74</v>
      </c>
      <c r="B111" s="125"/>
      <c r="C111" s="124">
        <f>C109*'Monthly Fuel Cost Allocation'!$A$2+(1-'Monthly Fuel Cost Allocation'!$A$2)*'Data Inputs - 2011'!C110</f>
        <v>887415.4800000001</v>
      </c>
      <c r="D111" s="124">
        <f>D109*'Monthly Fuel Cost Allocation'!$A$2+(1-'Monthly Fuel Cost Allocation'!$A$2)*'Data Inputs - 2011'!D110</f>
        <v>714261.2400000001</v>
      </c>
      <c r="E111" s="124">
        <f>E109*'Monthly Fuel Cost Allocation'!$A$2+(1-'Monthly Fuel Cost Allocation'!$A$2)*'Data Inputs - 2011'!E110</f>
        <v>885010.5600000002</v>
      </c>
      <c r="F111" s="124">
        <f>F109*'Monthly Fuel Cost Allocation'!$A$2+(1-'Monthly Fuel Cost Allocation'!$A$2)*'Data Inputs - 2011'!F110</f>
        <v>829697.4000000001</v>
      </c>
      <c r="G111" s="124">
        <f>G109*'Monthly Fuel Cost Allocation'!$A$2+(1-'Monthly Fuel Cost Allocation'!$A$2)*'Data Inputs - 2011'!G110</f>
        <v>887415.4800000001</v>
      </c>
      <c r="H111" s="124">
        <f>H109*'Monthly Fuel Cost Allocation'!$A$2+(1-'Monthly Fuel Cost Allocation'!$A$2)*'Data Inputs - 2011'!H110</f>
        <v>829697.4000000001</v>
      </c>
      <c r="I111" s="124">
        <f>I109*'Monthly Fuel Cost Allocation'!$A$2+(1-'Monthly Fuel Cost Allocation'!$A$2)*'Data Inputs - 2011'!I110</f>
        <v>887415.4800000001</v>
      </c>
      <c r="J111" s="124">
        <f>J109*'Monthly Fuel Cost Allocation'!$A$2+(1-'Monthly Fuel Cost Allocation'!$A$2)*'Data Inputs - 2011'!J110</f>
        <v>887415.4800000001</v>
      </c>
      <c r="K111" s="124">
        <f>K109*'Monthly Fuel Cost Allocation'!$A$2+(1-'Monthly Fuel Cost Allocation'!$A$2)*'Data Inputs - 2011'!K110</f>
        <v>829697.4000000001</v>
      </c>
      <c r="L111" s="124">
        <f>L109*'Monthly Fuel Cost Allocation'!$A$2+(1-'Monthly Fuel Cost Allocation'!$A$2)*'Data Inputs - 2011'!L110</f>
        <v>887415.4800000001</v>
      </c>
      <c r="M111" s="124">
        <f>M109*'Monthly Fuel Cost Allocation'!$A$2+(1-'Monthly Fuel Cost Allocation'!$A$2)*'Data Inputs - 2011'!M110</f>
        <v>829697.4000000001</v>
      </c>
      <c r="N111" s="124">
        <f>N109*'Monthly Fuel Cost Allocation'!$A$2+(1-'Monthly Fuel Cost Allocation'!$A$2)*'Data Inputs - 2011'!N110</f>
        <v>887415.4800000001</v>
      </c>
      <c r="O111" s="124">
        <f t="shared" si="19"/>
        <v>10242554.280000003</v>
      </c>
    </row>
    <row r="112" spans="1:15" ht="12.75">
      <c r="A112" s="62" t="s">
        <v>57</v>
      </c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9"/>
        <v>0</v>
      </c>
    </row>
    <row r="113" spans="1:15" ht="12.75">
      <c r="A113" s="62" t="s">
        <v>244</v>
      </c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>
        <f t="shared" si="19"/>
        <v>0</v>
      </c>
    </row>
    <row r="114" spans="1:15" ht="12.75">
      <c r="A114" s="62" t="s">
        <v>245</v>
      </c>
      <c r="B114" s="125">
        <v>4.402281525732912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>
        <f t="shared" si="19"/>
        <v>4.402281525732912</v>
      </c>
    </row>
    <row r="115" spans="1:15" ht="12.75">
      <c r="A115" s="62" t="s">
        <v>106</v>
      </c>
      <c r="B115" s="125"/>
      <c r="C115" s="124">
        <f>SUM(C111:C114)</f>
        <v>887415.4800000001</v>
      </c>
      <c r="D115" s="124">
        <f aca="true" t="shared" si="33" ref="D115:N115">SUM(D111:D114)</f>
        <v>714261.2400000001</v>
      </c>
      <c r="E115" s="124">
        <f t="shared" si="33"/>
        <v>885010.5600000002</v>
      </c>
      <c r="F115" s="124">
        <f t="shared" si="33"/>
        <v>829697.4000000001</v>
      </c>
      <c r="G115" s="124">
        <f t="shared" si="33"/>
        <v>887415.4800000001</v>
      </c>
      <c r="H115" s="124">
        <f t="shared" si="33"/>
        <v>829697.4000000001</v>
      </c>
      <c r="I115" s="124">
        <f t="shared" si="33"/>
        <v>887415.4800000001</v>
      </c>
      <c r="J115" s="124">
        <f t="shared" si="33"/>
        <v>887415.4800000001</v>
      </c>
      <c r="K115" s="124">
        <f t="shared" si="33"/>
        <v>829697.4000000001</v>
      </c>
      <c r="L115" s="124">
        <f t="shared" si="33"/>
        <v>887415.4800000001</v>
      </c>
      <c r="M115" s="124">
        <f t="shared" si="33"/>
        <v>829697.4000000001</v>
      </c>
      <c r="N115" s="124">
        <f t="shared" si="33"/>
        <v>887415.4800000001</v>
      </c>
      <c r="O115" s="124">
        <f t="shared" si="19"/>
        <v>10242554.280000003</v>
      </c>
    </row>
    <row r="116" spans="2:15" ht="12.75"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>
        <f t="shared" si="19"/>
        <v>0</v>
      </c>
    </row>
    <row r="117" spans="1:15" ht="12.75">
      <c r="A117" s="62" t="s">
        <v>44</v>
      </c>
      <c r="B117" s="125"/>
      <c r="C117" s="124">
        <f aca="true" t="shared" si="34" ref="C117:O117">C115+C106</f>
        <v>54045514.474976696</v>
      </c>
      <c r="D117" s="124">
        <f t="shared" si="34"/>
        <v>49980867.91913022</v>
      </c>
      <c r="E117" s="124">
        <f t="shared" si="34"/>
        <v>51041327.27298305</v>
      </c>
      <c r="F117" s="124">
        <f t="shared" si="34"/>
        <v>43605886.06053349</v>
      </c>
      <c r="G117" s="124">
        <f t="shared" si="34"/>
        <v>42141672.862733066</v>
      </c>
      <c r="H117" s="124">
        <f t="shared" si="34"/>
        <v>38892909.941961855</v>
      </c>
      <c r="I117" s="124">
        <f t="shared" si="34"/>
        <v>39491660.89705119</v>
      </c>
      <c r="J117" s="124">
        <f t="shared" si="34"/>
        <v>39120281.33784406</v>
      </c>
      <c r="K117" s="124">
        <f t="shared" si="34"/>
        <v>36080289.11426827</v>
      </c>
      <c r="L117" s="124">
        <f t="shared" si="34"/>
        <v>35608759.042635396</v>
      </c>
      <c r="M117" s="124">
        <f t="shared" si="34"/>
        <v>38692554.79332273</v>
      </c>
      <c r="N117" s="124">
        <f t="shared" si="34"/>
        <v>45973966.5164185</v>
      </c>
      <c r="O117" s="124">
        <f t="shared" si="34"/>
        <v>514675731.60385853</v>
      </c>
    </row>
    <row r="118" spans="3:15" ht="12.75"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1:15" ht="12.75">
      <c r="A119" s="63" t="s">
        <v>256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3:15" ht="12.75"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1:15" ht="12.75">
      <c r="A121" s="63" t="s">
        <v>39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1:15" ht="12.75">
      <c r="A122" s="67" t="s">
        <v>95</v>
      </c>
      <c r="C122" s="124">
        <f aca="true" t="shared" si="35" ref="C122:O122">+C66-C96</f>
        <v>0</v>
      </c>
      <c r="D122" s="124">
        <f t="shared" si="35"/>
        <v>0</v>
      </c>
      <c r="E122" s="124">
        <f t="shared" si="35"/>
        <v>0</v>
      </c>
      <c r="F122" s="124">
        <f t="shared" si="35"/>
        <v>0</v>
      </c>
      <c r="G122" s="124">
        <f t="shared" si="35"/>
        <v>0</v>
      </c>
      <c r="H122" s="124">
        <f t="shared" si="35"/>
        <v>0</v>
      </c>
      <c r="I122" s="124">
        <f t="shared" si="35"/>
        <v>0</v>
      </c>
      <c r="J122" s="124">
        <f t="shared" si="35"/>
        <v>0</v>
      </c>
      <c r="K122" s="124">
        <f t="shared" si="35"/>
        <v>0</v>
      </c>
      <c r="L122" s="124">
        <f t="shared" si="35"/>
        <v>0</v>
      </c>
      <c r="M122" s="124">
        <f t="shared" si="35"/>
        <v>0</v>
      </c>
      <c r="N122" s="124">
        <f t="shared" si="35"/>
        <v>0</v>
      </c>
      <c r="O122" s="124">
        <f t="shared" si="35"/>
        <v>0</v>
      </c>
    </row>
    <row r="123" spans="1:15" ht="12.75">
      <c r="A123" s="62" t="s">
        <v>46</v>
      </c>
      <c r="C123" s="124">
        <f aca="true" t="shared" si="36" ref="C123:O123">+C67-C97</f>
        <v>0</v>
      </c>
      <c r="D123" s="124">
        <f t="shared" si="36"/>
        <v>0</v>
      </c>
      <c r="E123" s="124">
        <f t="shared" si="36"/>
        <v>0</v>
      </c>
      <c r="F123" s="124">
        <f t="shared" si="36"/>
        <v>0</v>
      </c>
      <c r="G123" s="124">
        <f t="shared" si="36"/>
        <v>0</v>
      </c>
      <c r="H123" s="124">
        <f t="shared" si="36"/>
        <v>0</v>
      </c>
      <c r="I123" s="124">
        <f t="shared" si="36"/>
        <v>0</v>
      </c>
      <c r="J123" s="124">
        <f t="shared" si="36"/>
        <v>0</v>
      </c>
      <c r="K123" s="124">
        <f t="shared" si="36"/>
        <v>0</v>
      </c>
      <c r="L123" s="124">
        <f t="shared" si="36"/>
        <v>0</v>
      </c>
      <c r="M123" s="124">
        <f t="shared" si="36"/>
        <v>0</v>
      </c>
      <c r="N123" s="124">
        <f t="shared" si="36"/>
        <v>0</v>
      </c>
      <c r="O123" s="319">
        <f t="shared" si="36"/>
        <v>-4.876000000163913</v>
      </c>
    </row>
    <row r="124" spans="1:15" ht="12.75">
      <c r="A124" s="62" t="s">
        <v>47</v>
      </c>
      <c r="C124" s="124">
        <f aca="true" t="shared" si="37" ref="C124:O124">+C68-C98</f>
        <v>0</v>
      </c>
      <c r="D124" s="124">
        <f t="shared" si="37"/>
        <v>0</v>
      </c>
      <c r="E124" s="124">
        <f t="shared" si="37"/>
        <v>0</v>
      </c>
      <c r="F124" s="124">
        <f t="shared" si="37"/>
        <v>0</v>
      </c>
      <c r="G124" s="124">
        <f t="shared" si="37"/>
        <v>0</v>
      </c>
      <c r="H124" s="124">
        <f t="shared" si="37"/>
        <v>0</v>
      </c>
      <c r="I124" s="124">
        <f t="shared" si="37"/>
        <v>0</v>
      </c>
      <c r="J124" s="124">
        <f t="shared" si="37"/>
        <v>0</v>
      </c>
      <c r="K124" s="124">
        <f t="shared" si="37"/>
        <v>0</v>
      </c>
      <c r="L124" s="124">
        <f t="shared" si="37"/>
        <v>0</v>
      </c>
      <c r="M124" s="124">
        <f t="shared" si="37"/>
        <v>0</v>
      </c>
      <c r="N124" s="124">
        <f t="shared" si="37"/>
        <v>0</v>
      </c>
      <c r="O124" s="319">
        <f t="shared" si="37"/>
        <v>-4.943000003695488</v>
      </c>
    </row>
    <row r="125" spans="1:15" ht="12.75">
      <c r="A125" s="62" t="s">
        <v>48</v>
      </c>
      <c r="C125" s="124">
        <f aca="true" t="shared" si="38" ref="C125:O125">+C69-C99</f>
        <v>0</v>
      </c>
      <c r="D125" s="124">
        <f t="shared" si="38"/>
        <v>0</v>
      </c>
      <c r="E125" s="124">
        <f t="shared" si="38"/>
        <v>0</v>
      </c>
      <c r="F125" s="124">
        <f t="shared" si="38"/>
        <v>0</v>
      </c>
      <c r="G125" s="124">
        <f t="shared" si="38"/>
        <v>0</v>
      </c>
      <c r="H125" s="124">
        <f t="shared" si="38"/>
        <v>0</v>
      </c>
      <c r="I125" s="124">
        <f t="shared" si="38"/>
        <v>0</v>
      </c>
      <c r="J125" s="124">
        <f t="shared" si="38"/>
        <v>0</v>
      </c>
      <c r="K125" s="124">
        <f t="shared" si="38"/>
        <v>0</v>
      </c>
      <c r="L125" s="124">
        <f t="shared" si="38"/>
        <v>0</v>
      </c>
      <c r="M125" s="124">
        <f t="shared" si="38"/>
        <v>0</v>
      </c>
      <c r="N125" s="124">
        <f t="shared" si="38"/>
        <v>0</v>
      </c>
      <c r="O125" s="319">
        <f t="shared" si="38"/>
        <v>-4.5410000048577785</v>
      </c>
    </row>
    <row r="126" spans="1:15" ht="12.75">
      <c r="A126" s="62" t="s">
        <v>49</v>
      </c>
      <c r="C126" s="124">
        <f aca="true" t="shared" si="39" ref="C126:O126">+C70-C100</f>
        <v>0</v>
      </c>
      <c r="D126" s="124">
        <f t="shared" si="39"/>
        <v>0</v>
      </c>
      <c r="E126" s="124">
        <f t="shared" si="39"/>
        <v>0</v>
      </c>
      <c r="F126" s="124">
        <f t="shared" si="39"/>
        <v>0</v>
      </c>
      <c r="G126" s="124">
        <f t="shared" si="39"/>
        <v>0</v>
      </c>
      <c r="H126" s="124">
        <f t="shared" si="39"/>
        <v>0</v>
      </c>
      <c r="I126" s="124">
        <f t="shared" si="39"/>
        <v>0</v>
      </c>
      <c r="J126" s="124">
        <f t="shared" si="39"/>
        <v>0</v>
      </c>
      <c r="K126" s="124">
        <f t="shared" si="39"/>
        <v>0</v>
      </c>
      <c r="L126" s="124">
        <f t="shared" si="39"/>
        <v>0</v>
      </c>
      <c r="M126" s="124">
        <f t="shared" si="39"/>
        <v>0</v>
      </c>
      <c r="N126" s="124">
        <f t="shared" si="39"/>
        <v>0</v>
      </c>
      <c r="O126" s="319">
        <f t="shared" si="39"/>
        <v>-4.667999999597669</v>
      </c>
    </row>
    <row r="127" spans="1:15" ht="12.75">
      <c r="A127" s="62" t="s">
        <v>50</v>
      </c>
      <c r="C127" s="124">
        <f aca="true" t="shared" si="40" ref="C127:O127">+C71-C101</f>
        <v>0</v>
      </c>
      <c r="D127" s="124">
        <f t="shared" si="40"/>
        <v>0</v>
      </c>
      <c r="E127" s="124">
        <f t="shared" si="40"/>
        <v>0</v>
      </c>
      <c r="F127" s="124">
        <f t="shared" si="40"/>
        <v>0</v>
      </c>
      <c r="G127" s="124">
        <f t="shared" si="40"/>
        <v>0</v>
      </c>
      <c r="H127" s="124">
        <f t="shared" si="40"/>
        <v>0</v>
      </c>
      <c r="I127" s="124">
        <f t="shared" si="40"/>
        <v>0</v>
      </c>
      <c r="J127" s="124">
        <f t="shared" si="40"/>
        <v>0</v>
      </c>
      <c r="K127" s="124">
        <f t="shared" si="40"/>
        <v>0</v>
      </c>
      <c r="L127" s="124">
        <f t="shared" si="40"/>
        <v>0</v>
      </c>
      <c r="M127" s="124">
        <f t="shared" si="40"/>
        <v>0</v>
      </c>
      <c r="N127" s="124">
        <f t="shared" si="40"/>
        <v>0</v>
      </c>
      <c r="O127" s="319">
        <f t="shared" si="40"/>
        <v>-4.592999998480082</v>
      </c>
    </row>
    <row r="128" spans="1:15" ht="12.75">
      <c r="A128" s="62" t="s">
        <v>51</v>
      </c>
      <c r="C128" s="124">
        <f aca="true" t="shared" si="41" ref="C128:O128">+C72-C102</f>
        <v>0</v>
      </c>
      <c r="D128" s="124">
        <f t="shared" si="41"/>
        <v>0</v>
      </c>
      <c r="E128" s="124">
        <f t="shared" si="41"/>
        <v>0</v>
      </c>
      <c r="F128" s="124">
        <f t="shared" si="41"/>
        <v>0</v>
      </c>
      <c r="G128" s="124">
        <f t="shared" si="41"/>
        <v>0</v>
      </c>
      <c r="H128" s="124">
        <f t="shared" si="41"/>
        <v>0</v>
      </c>
      <c r="I128" s="124">
        <f t="shared" si="41"/>
        <v>0</v>
      </c>
      <c r="J128" s="124">
        <f t="shared" si="41"/>
        <v>0</v>
      </c>
      <c r="K128" s="124">
        <f t="shared" si="41"/>
        <v>0</v>
      </c>
      <c r="L128" s="124">
        <f t="shared" si="41"/>
        <v>0</v>
      </c>
      <c r="M128" s="124">
        <f t="shared" si="41"/>
        <v>0</v>
      </c>
      <c r="N128" s="124">
        <f t="shared" si="41"/>
        <v>0</v>
      </c>
      <c r="O128" s="319">
        <f t="shared" si="41"/>
        <v>-4.401999995112419</v>
      </c>
    </row>
    <row r="129" spans="1:15" ht="12.75">
      <c r="A129" s="62" t="s">
        <v>55</v>
      </c>
      <c r="C129" s="319">
        <f aca="true" t="shared" si="42" ref="C129:N129">+C73-C103</f>
        <v>-7414.961070000194</v>
      </c>
      <c r="D129" s="319">
        <f t="shared" si="42"/>
        <v>-22676.845949999057</v>
      </c>
      <c r="E129" s="319">
        <f t="shared" si="42"/>
        <v>-8530.565339999273</v>
      </c>
      <c r="F129" s="124">
        <f t="shared" si="42"/>
        <v>0</v>
      </c>
      <c r="G129" s="319">
        <f t="shared" si="42"/>
        <v>-144.7861800007522</v>
      </c>
      <c r="H129" s="319">
        <f t="shared" si="42"/>
        <v>-77301.44531999901</v>
      </c>
      <c r="I129" s="319">
        <f t="shared" si="42"/>
        <v>-21458.382000000216</v>
      </c>
      <c r="J129" s="319">
        <f t="shared" si="42"/>
        <v>-30590.412930000573</v>
      </c>
      <c r="K129" s="319">
        <f t="shared" si="42"/>
        <v>-7896.796379999258</v>
      </c>
      <c r="L129" s="319">
        <f t="shared" si="42"/>
        <v>-150295.16237999988</v>
      </c>
      <c r="M129" s="124">
        <f t="shared" si="42"/>
        <v>0</v>
      </c>
      <c r="N129" s="124">
        <f t="shared" si="42"/>
        <v>0</v>
      </c>
      <c r="O129" s="319">
        <f>+O73-O103</f>
        <v>-326313.3505499959</v>
      </c>
    </row>
    <row r="130" spans="1:15" ht="12.75">
      <c r="A130" s="62" t="s">
        <v>52</v>
      </c>
      <c r="C130" s="124">
        <f aca="true" t="shared" si="43" ref="C130:O130">+C74-C104</f>
        <v>0</v>
      </c>
      <c r="D130" s="124">
        <f t="shared" si="43"/>
        <v>0</v>
      </c>
      <c r="E130" s="124">
        <f t="shared" si="43"/>
        <v>0</v>
      </c>
      <c r="F130" s="124">
        <f t="shared" si="43"/>
        <v>0</v>
      </c>
      <c r="G130" s="124">
        <f t="shared" si="43"/>
        <v>0</v>
      </c>
      <c r="H130" s="124">
        <f t="shared" si="43"/>
        <v>0</v>
      </c>
      <c r="I130" s="124">
        <f t="shared" si="43"/>
        <v>0</v>
      </c>
      <c r="J130" s="124">
        <f t="shared" si="43"/>
        <v>0</v>
      </c>
      <c r="K130" s="124">
        <f t="shared" si="43"/>
        <v>0</v>
      </c>
      <c r="L130" s="124">
        <f t="shared" si="43"/>
        <v>0</v>
      </c>
      <c r="M130" s="124">
        <f t="shared" si="43"/>
        <v>0</v>
      </c>
      <c r="N130" s="124">
        <f t="shared" si="43"/>
        <v>0</v>
      </c>
      <c r="O130" s="319">
        <f t="shared" si="43"/>
        <v>-4.538000002503395</v>
      </c>
    </row>
    <row r="131" spans="1:15" ht="12.75">
      <c r="A131" s="62" t="s">
        <v>53</v>
      </c>
      <c r="C131" s="124">
        <f aca="true" t="shared" si="44" ref="C131:O131">+C75-C105</f>
        <v>0</v>
      </c>
      <c r="D131" s="124">
        <f t="shared" si="44"/>
        <v>0</v>
      </c>
      <c r="E131" s="124">
        <f t="shared" si="44"/>
        <v>0</v>
      </c>
      <c r="F131" s="124">
        <f t="shared" si="44"/>
        <v>0</v>
      </c>
      <c r="G131" s="124">
        <f t="shared" si="44"/>
        <v>0</v>
      </c>
      <c r="H131" s="124">
        <f t="shared" si="44"/>
        <v>0</v>
      </c>
      <c r="I131" s="124">
        <f t="shared" si="44"/>
        <v>0</v>
      </c>
      <c r="J131" s="124">
        <f t="shared" si="44"/>
        <v>0</v>
      </c>
      <c r="K131" s="124">
        <f t="shared" si="44"/>
        <v>0</v>
      </c>
      <c r="L131" s="124">
        <f t="shared" si="44"/>
        <v>0</v>
      </c>
      <c r="M131" s="124">
        <f t="shared" si="44"/>
        <v>0</v>
      </c>
      <c r="N131" s="124">
        <f t="shared" si="44"/>
        <v>0</v>
      </c>
      <c r="O131" s="319">
        <f t="shared" si="44"/>
        <v>-4.815999999642372</v>
      </c>
    </row>
    <row r="132" spans="1:15" ht="12.75">
      <c r="A132" s="62" t="s">
        <v>106</v>
      </c>
      <c r="C132" s="319">
        <f aca="true" t="shared" si="45" ref="C132:O132">+C76-C106</f>
        <v>-7414.961069993675</v>
      </c>
      <c r="D132" s="319">
        <f t="shared" si="45"/>
        <v>-22676.845949999988</v>
      </c>
      <c r="E132" s="319">
        <f t="shared" si="45"/>
        <v>-8530.565340004861</v>
      </c>
      <c r="F132" s="124">
        <f t="shared" si="45"/>
        <v>0</v>
      </c>
      <c r="G132" s="319">
        <f t="shared" si="45"/>
        <v>-144.78617999702692</v>
      </c>
      <c r="H132" s="319">
        <f t="shared" si="45"/>
        <v>-77301.44532000273</v>
      </c>
      <c r="I132" s="319">
        <f t="shared" si="45"/>
        <v>-21458.381999999285</v>
      </c>
      <c r="J132" s="319">
        <f t="shared" si="45"/>
        <v>-30590.4129300043</v>
      </c>
      <c r="K132" s="319">
        <f t="shared" si="45"/>
        <v>-7896.796379998326</v>
      </c>
      <c r="L132" s="319">
        <f t="shared" si="45"/>
        <v>-150295.16238000244</v>
      </c>
      <c r="M132" s="124">
        <f t="shared" si="45"/>
        <v>0</v>
      </c>
      <c r="N132" s="124">
        <f t="shared" si="45"/>
        <v>0</v>
      </c>
      <c r="O132" s="319">
        <f t="shared" si="45"/>
        <v>-326350.72754991055</v>
      </c>
    </row>
    <row r="133" spans="3:15" ht="12.75"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1:15" ht="12.75">
      <c r="A134" s="63" t="s">
        <v>91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5" ht="12.75">
      <c r="A135" s="62" t="s">
        <v>74</v>
      </c>
      <c r="C135" s="124">
        <f aca="true" t="shared" si="46" ref="C135:O135">+C81-C111</f>
        <v>0</v>
      </c>
      <c r="D135" s="124">
        <f t="shared" si="46"/>
        <v>0</v>
      </c>
      <c r="E135" s="124">
        <f t="shared" si="46"/>
        <v>0</v>
      </c>
      <c r="F135" s="124">
        <f t="shared" si="46"/>
        <v>0</v>
      </c>
      <c r="G135" s="124">
        <f t="shared" si="46"/>
        <v>0</v>
      </c>
      <c r="H135" s="124">
        <f t="shared" si="46"/>
        <v>0</v>
      </c>
      <c r="I135" s="124">
        <f t="shared" si="46"/>
        <v>0</v>
      </c>
      <c r="J135" s="124">
        <f t="shared" si="46"/>
        <v>0</v>
      </c>
      <c r="K135" s="124">
        <f t="shared" si="46"/>
        <v>0</v>
      </c>
      <c r="L135" s="124">
        <f t="shared" si="46"/>
        <v>0</v>
      </c>
      <c r="M135" s="124">
        <f t="shared" si="46"/>
        <v>0</v>
      </c>
      <c r="N135" s="124">
        <f t="shared" si="46"/>
        <v>0</v>
      </c>
      <c r="O135" s="124">
        <f t="shared" si="46"/>
        <v>0</v>
      </c>
    </row>
    <row r="136" spans="1:15" ht="12.75">
      <c r="A136" s="62" t="s">
        <v>57</v>
      </c>
      <c r="C136" s="124">
        <f aca="true" t="shared" si="47" ref="C136:O136">+C82-C112</f>
        <v>0</v>
      </c>
      <c r="D136" s="124">
        <f t="shared" si="47"/>
        <v>0</v>
      </c>
      <c r="E136" s="124">
        <f t="shared" si="47"/>
        <v>0</v>
      </c>
      <c r="F136" s="124">
        <f t="shared" si="47"/>
        <v>0</v>
      </c>
      <c r="G136" s="124">
        <f t="shared" si="47"/>
        <v>0</v>
      </c>
      <c r="H136" s="124">
        <f t="shared" si="47"/>
        <v>0</v>
      </c>
      <c r="I136" s="124">
        <f t="shared" si="47"/>
        <v>0</v>
      </c>
      <c r="J136" s="124">
        <f t="shared" si="47"/>
        <v>0</v>
      </c>
      <c r="K136" s="124">
        <f t="shared" si="47"/>
        <v>0</v>
      </c>
      <c r="L136" s="124">
        <f t="shared" si="47"/>
        <v>0</v>
      </c>
      <c r="M136" s="124">
        <f t="shared" si="47"/>
        <v>0</v>
      </c>
      <c r="N136" s="124">
        <f t="shared" si="47"/>
        <v>0</v>
      </c>
      <c r="O136" s="124">
        <f t="shared" si="47"/>
        <v>0</v>
      </c>
    </row>
    <row r="137" spans="1:15" ht="12.75">
      <c r="A137" s="62" t="s">
        <v>244</v>
      </c>
      <c r="C137" s="124">
        <f aca="true" t="shared" si="48" ref="C137:O137">+C83-C113</f>
        <v>0</v>
      </c>
      <c r="D137" s="124">
        <f t="shared" si="48"/>
        <v>0</v>
      </c>
      <c r="E137" s="124">
        <f t="shared" si="48"/>
        <v>0</v>
      </c>
      <c r="F137" s="124">
        <f t="shared" si="48"/>
        <v>0</v>
      </c>
      <c r="G137" s="124">
        <f t="shared" si="48"/>
        <v>0</v>
      </c>
      <c r="H137" s="124">
        <f t="shared" si="48"/>
        <v>0</v>
      </c>
      <c r="I137" s="124">
        <f t="shared" si="48"/>
        <v>0</v>
      </c>
      <c r="J137" s="124">
        <f t="shared" si="48"/>
        <v>0</v>
      </c>
      <c r="K137" s="124">
        <f t="shared" si="48"/>
        <v>0</v>
      </c>
      <c r="L137" s="124">
        <f t="shared" si="48"/>
        <v>0</v>
      </c>
      <c r="M137" s="124">
        <f t="shared" si="48"/>
        <v>0</v>
      </c>
      <c r="N137" s="124">
        <f t="shared" si="48"/>
        <v>0</v>
      </c>
      <c r="O137" s="124">
        <f t="shared" si="48"/>
        <v>0</v>
      </c>
    </row>
    <row r="138" spans="1:15" ht="12.75">
      <c r="A138" s="62" t="s">
        <v>245</v>
      </c>
      <c r="C138" s="124">
        <f aca="true" t="shared" si="49" ref="C138:O138">+C84-C114</f>
        <v>0</v>
      </c>
      <c r="D138" s="124">
        <f t="shared" si="49"/>
        <v>0</v>
      </c>
      <c r="E138" s="124">
        <f t="shared" si="49"/>
        <v>0</v>
      </c>
      <c r="F138" s="124">
        <f t="shared" si="49"/>
        <v>0</v>
      </c>
      <c r="G138" s="124">
        <f t="shared" si="49"/>
        <v>0</v>
      </c>
      <c r="H138" s="124">
        <f t="shared" si="49"/>
        <v>0</v>
      </c>
      <c r="I138" s="124">
        <f t="shared" si="49"/>
        <v>0</v>
      </c>
      <c r="J138" s="124">
        <f t="shared" si="49"/>
        <v>0</v>
      </c>
      <c r="K138" s="124">
        <f t="shared" si="49"/>
        <v>0</v>
      </c>
      <c r="L138" s="124">
        <f t="shared" si="49"/>
        <v>0</v>
      </c>
      <c r="M138" s="124">
        <f t="shared" si="49"/>
        <v>0</v>
      </c>
      <c r="N138" s="124">
        <f t="shared" si="49"/>
        <v>0</v>
      </c>
      <c r="O138" s="319">
        <f t="shared" si="49"/>
        <v>-4.402281525732912</v>
      </c>
    </row>
    <row r="139" spans="1:15" ht="12.75">
      <c r="A139" s="62" t="s">
        <v>106</v>
      </c>
      <c r="C139" s="124">
        <f aca="true" t="shared" si="50" ref="C139:O139">+C85-C115</f>
        <v>0</v>
      </c>
      <c r="D139" s="124">
        <f t="shared" si="50"/>
        <v>0</v>
      </c>
      <c r="E139" s="124">
        <f t="shared" si="50"/>
        <v>0</v>
      </c>
      <c r="F139" s="124">
        <f t="shared" si="50"/>
        <v>0</v>
      </c>
      <c r="G139" s="124">
        <f t="shared" si="50"/>
        <v>0</v>
      </c>
      <c r="H139" s="124">
        <f t="shared" si="50"/>
        <v>0</v>
      </c>
      <c r="I139" s="124">
        <f t="shared" si="50"/>
        <v>0</v>
      </c>
      <c r="J139" s="124">
        <f t="shared" si="50"/>
        <v>0</v>
      </c>
      <c r="K139" s="124">
        <f t="shared" si="50"/>
        <v>0</v>
      </c>
      <c r="L139" s="124">
        <f t="shared" si="50"/>
        <v>0</v>
      </c>
      <c r="M139" s="124">
        <f t="shared" si="50"/>
        <v>0</v>
      </c>
      <c r="N139" s="124">
        <f t="shared" si="50"/>
        <v>0</v>
      </c>
      <c r="O139" s="124">
        <f t="shared" si="50"/>
        <v>0</v>
      </c>
    </row>
    <row r="140" spans="3:15" ht="12.75">
      <c r="C140" s="319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1:15" ht="12.75">
      <c r="A141" s="62" t="s">
        <v>44</v>
      </c>
      <c r="C141" s="319">
        <f aca="true" t="shared" si="51" ref="C141:O141">+C87-C117</f>
        <v>-7414.961069993675</v>
      </c>
      <c r="D141" s="319">
        <f t="shared" si="51"/>
        <v>-22676.845949999988</v>
      </c>
      <c r="E141" s="319">
        <f t="shared" si="51"/>
        <v>-8530.565340004861</v>
      </c>
      <c r="F141" s="124">
        <f t="shared" si="51"/>
        <v>0</v>
      </c>
      <c r="G141" s="319">
        <f t="shared" si="51"/>
        <v>-144.78617999702692</v>
      </c>
      <c r="H141" s="319">
        <f t="shared" si="51"/>
        <v>-77301.44532000273</v>
      </c>
      <c r="I141" s="319">
        <f t="shared" si="51"/>
        <v>-21458.381999999285</v>
      </c>
      <c r="J141" s="319">
        <f t="shared" si="51"/>
        <v>-30590.4129300043</v>
      </c>
      <c r="K141" s="319">
        <f t="shared" si="51"/>
        <v>-7896.796379998326</v>
      </c>
      <c r="L141" s="319">
        <f t="shared" si="51"/>
        <v>-150295.16238000244</v>
      </c>
      <c r="M141" s="124">
        <f t="shared" si="51"/>
        <v>0</v>
      </c>
      <c r="N141" s="124">
        <f t="shared" si="51"/>
        <v>0</v>
      </c>
      <c r="O141" s="319">
        <f t="shared" si="51"/>
        <v>-326350.72754997015</v>
      </c>
    </row>
    <row r="144" ht="15.75">
      <c r="A144" s="122" t="s">
        <v>257</v>
      </c>
    </row>
    <row r="146" ht="12.75">
      <c r="A146" s="63" t="s">
        <v>39</v>
      </c>
    </row>
    <row r="147" spans="1:15" ht="12.75">
      <c r="A147" s="67" t="s">
        <v>93</v>
      </c>
      <c r="B147" s="123">
        <v>4.741</v>
      </c>
      <c r="C147" s="124">
        <f aca="true" t="shared" si="52" ref="C147:N147">C19*$B147/100</f>
        <v>23306629.936810013</v>
      </c>
      <c r="D147" s="124">
        <f t="shared" si="52"/>
        <v>21203509.441290002</v>
      </c>
      <c r="E147" s="124">
        <f t="shared" si="52"/>
        <v>20603608.19468463</v>
      </c>
      <c r="F147" s="124">
        <f t="shared" si="52"/>
        <v>16253604.088018727</v>
      </c>
      <c r="G147" s="124">
        <f t="shared" si="52"/>
        <v>15073761.20077392</v>
      </c>
      <c r="H147" s="124">
        <f t="shared" si="52"/>
        <v>12439196.743120395</v>
      </c>
      <c r="I147" s="124">
        <f t="shared" si="52"/>
        <v>12128734.577592209</v>
      </c>
      <c r="J147" s="124">
        <f t="shared" si="52"/>
        <v>12140206.026215054</v>
      </c>
      <c r="K147" s="124">
        <f t="shared" si="52"/>
        <v>12195081.628574848</v>
      </c>
      <c r="L147" s="124">
        <f t="shared" si="52"/>
        <v>13548512.627650438</v>
      </c>
      <c r="M147" s="124">
        <f t="shared" si="52"/>
        <v>15738831.136262394</v>
      </c>
      <c r="N147" s="124">
        <f t="shared" si="52"/>
        <v>20575761.722085003</v>
      </c>
      <c r="O147" s="124">
        <f>SUM(B147:N147)</f>
        <v>195207442.06407765</v>
      </c>
    </row>
    <row r="148" spans="1:15" ht="12.75">
      <c r="A148" s="67" t="s">
        <v>94</v>
      </c>
      <c r="B148" s="123">
        <v>4.741</v>
      </c>
      <c r="C148" s="124">
        <f aca="true" t="shared" si="53" ref="C148:N148">C20*$B148/100</f>
        <v>1163060.832562801</v>
      </c>
      <c r="D148" s="124">
        <f t="shared" si="53"/>
        <v>1118039.154061996</v>
      </c>
      <c r="E148" s="124">
        <f t="shared" si="53"/>
        <v>1116135.8953006691</v>
      </c>
      <c r="F148" s="124">
        <f t="shared" si="53"/>
        <v>903318.4323303618</v>
      </c>
      <c r="G148" s="124">
        <f t="shared" si="53"/>
        <v>643086.260868272</v>
      </c>
      <c r="H148" s="124">
        <f t="shared" si="53"/>
        <v>433378.36589271895</v>
      </c>
      <c r="I148" s="124">
        <f t="shared" si="53"/>
        <v>344375.46216947085</v>
      </c>
      <c r="J148" s="124">
        <f t="shared" si="53"/>
        <v>352801.14026652224</v>
      </c>
      <c r="K148" s="124">
        <f t="shared" si="53"/>
        <v>394800.662539372</v>
      </c>
      <c r="L148" s="124">
        <f t="shared" si="53"/>
        <v>532257.6929205063</v>
      </c>
      <c r="M148" s="124">
        <f t="shared" si="53"/>
        <v>810623.0979609273</v>
      </c>
      <c r="N148" s="124">
        <f t="shared" si="53"/>
        <v>1400612.9406799802</v>
      </c>
      <c r="O148" s="124">
        <f aca="true" t="shared" si="54" ref="O148:O158">SUM(B148:N148)</f>
        <v>9212494.678553596</v>
      </c>
    </row>
    <row r="149" spans="1:15" ht="12.75">
      <c r="A149" s="67" t="s">
        <v>95</v>
      </c>
      <c r="B149" s="123"/>
      <c r="C149" s="124">
        <f>SUM(C147:C148)</f>
        <v>24469690.769372813</v>
      </c>
      <c r="D149" s="124">
        <f aca="true" t="shared" si="55" ref="D149:N149">SUM(D147:D148)</f>
        <v>22321548.595351998</v>
      </c>
      <c r="E149" s="124">
        <f t="shared" si="55"/>
        <v>21719744.089985296</v>
      </c>
      <c r="F149" s="124">
        <f t="shared" si="55"/>
        <v>17156922.52034909</v>
      </c>
      <c r="G149" s="124">
        <f t="shared" si="55"/>
        <v>15716847.461642193</v>
      </c>
      <c r="H149" s="124">
        <f t="shared" si="55"/>
        <v>12872575.109013114</v>
      </c>
      <c r="I149" s="124">
        <f t="shared" si="55"/>
        <v>12473110.03976168</v>
      </c>
      <c r="J149" s="124">
        <f t="shared" si="55"/>
        <v>12493007.166481577</v>
      </c>
      <c r="K149" s="124">
        <f t="shared" si="55"/>
        <v>12589882.29111422</v>
      </c>
      <c r="L149" s="124">
        <f t="shared" si="55"/>
        <v>14080770.320570944</v>
      </c>
      <c r="M149" s="124">
        <f t="shared" si="55"/>
        <v>16549454.234223321</v>
      </c>
      <c r="N149" s="124">
        <f t="shared" si="55"/>
        <v>21976374.66276498</v>
      </c>
      <c r="O149" s="124">
        <f t="shared" si="54"/>
        <v>204419927.2606312</v>
      </c>
    </row>
    <row r="150" spans="1:15" ht="12.75">
      <c r="A150" s="62" t="s">
        <v>46</v>
      </c>
      <c r="B150" s="125">
        <v>4.876</v>
      </c>
      <c r="C150" s="124">
        <f aca="true" t="shared" si="56" ref="C150:N150">C22*$B150/100</f>
        <v>1221644.698034585</v>
      </c>
      <c r="D150" s="124">
        <f t="shared" si="56"/>
        <v>1167670.7832528146</v>
      </c>
      <c r="E150" s="124">
        <f t="shared" si="56"/>
        <v>1208191.2593976292</v>
      </c>
      <c r="F150" s="124">
        <f t="shared" si="56"/>
        <v>959286.1246334052</v>
      </c>
      <c r="G150" s="124">
        <f t="shared" si="56"/>
        <v>960838.4207354917</v>
      </c>
      <c r="H150" s="124">
        <f t="shared" si="56"/>
        <v>827640.0594663816</v>
      </c>
      <c r="I150" s="124">
        <f t="shared" si="56"/>
        <v>851849.2119732354</v>
      </c>
      <c r="J150" s="124">
        <f t="shared" si="56"/>
        <v>846270.8626731746</v>
      </c>
      <c r="K150" s="124">
        <f t="shared" si="56"/>
        <v>861993.2332645534</v>
      </c>
      <c r="L150" s="124">
        <f t="shared" si="56"/>
        <v>881382.9239393919</v>
      </c>
      <c r="M150" s="124">
        <f t="shared" si="56"/>
        <v>864893.4282572503</v>
      </c>
      <c r="N150" s="124">
        <f t="shared" si="56"/>
        <v>1080238.7046730607</v>
      </c>
      <c r="O150" s="124">
        <f t="shared" si="54"/>
        <v>11731904.586300973</v>
      </c>
    </row>
    <row r="151" spans="1:15" ht="12.75">
      <c r="A151" s="62" t="s">
        <v>47</v>
      </c>
      <c r="B151" s="125">
        <v>4.943</v>
      </c>
      <c r="C151" s="124">
        <f aca="true" t="shared" si="57" ref="C151:N151">C23*$B151/100</f>
        <v>11842411.67509675</v>
      </c>
      <c r="D151" s="124">
        <f t="shared" si="57"/>
        <v>11238833.397184303</v>
      </c>
      <c r="E151" s="124">
        <f t="shared" si="57"/>
        <v>11279162.902321653</v>
      </c>
      <c r="F151" s="124">
        <f t="shared" si="57"/>
        <v>9585376.544560703</v>
      </c>
      <c r="G151" s="124">
        <f t="shared" si="57"/>
        <v>9397130.776046855</v>
      </c>
      <c r="H151" s="124">
        <f t="shared" si="57"/>
        <v>9355382.856326697</v>
      </c>
      <c r="I151" s="124">
        <f t="shared" si="57"/>
        <v>9680137.964991445</v>
      </c>
      <c r="J151" s="124">
        <f t="shared" si="57"/>
        <v>9420782.630212152</v>
      </c>
      <c r="K151" s="124">
        <f t="shared" si="57"/>
        <v>9017452.703066628</v>
      </c>
      <c r="L151" s="124">
        <f t="shared" si="57"/>
        <v>9746290.698214618</v>
      </c>
      <c r="M151" s="124">
        <f t="shared" si="57"/>
        <v>9857458.711657891</v>
      </c>
      <c r="N151" s="124">
        <f t="shared" si="57"/>
        <v>11240103.374415625</v>
      </c>
      <c r="O151" s="124">
        <f t="shared" si="54"/>
        <v>121660529.17709534</v>
      </c>
    </row>
    <row r="152" spans="1:15" ht="12.75">
      <c r="A152" s="62" t="s">
        <v>48</v>
      </c>
      <c r="B152" s="125">
        <v>4.541</v>
      </c>
      <c r="C152" s="124">
        <f aca="true" t="shared" si="58" ref="C152:N152">C24*$B152/100</f>
        <v>1593734.6533700002</v>
      </c>
      <c r="D152" s="124">
        <f t="shared" si="58"/>
        <v>1397606.0479500003</v>
      </c>
      <c r="E152" s="124">
        <f t="shared" si="58"/>
        <v>1690377.53226</v>
      </c>
      <c r="F152" s="124">
        <f t="shared" si="58"/>
        <v>1471476.9925</v>
      </c>
      <c r="G152" s="124">
        <f t="shared" si="58"/>
        <v>1521463.5485300003</v>
      </c>
      <c r="H152" s="124">
        <f t="shared" si="58"/>
        <v>1504878.9991500003</v>
      </c>
      <c r="I152" s="124">
        <f t="shared" si="58"/>
        <v>1724188.6376000002</v>
      </c>
      <c r="J152" s="124">
        <f t="shared" si="58"/>
        <v>1743009.2207900002</v>
      </c>
      <c r="K152" s="124">
        <f t="shared" si="58"/>
        <v>1626190.90595</v>
      </c>
      <c r="L152" s="124">
        <f t="shared" si="58"/>
        <v>1582227.9864200002</v>
      </c>
      <c r="M152" s="124">
        <f t="shared" si="58"/>
        <v>1497213.4788622975</v>
      </c>
      <c r="N152" s="124">
        <f t="shared" si="58"/>
        <v>1501289.3301994447</v>
      </c>
      <c r="O152" s="124">
        <f t="shared" si="54"/>
        <v>18853661.874581747</v>
      </c>
    </row>
    <row r="153" spans="1:15" ht="12.75">
      <c r="A153" s="62" t="s">
        <v>49</v>
      </c>
      <c r="B153" s="125">
        <v>4.668</v>
      </c>
      <c r="C153" s="124">
        <f aca="true" t="shared" si="59" ref="C153:N153">C25*$B153/100</f>
        <v>1115284.5810863038</v>
      </c>
      <c r="D153" s="124">
        <f t="shared" si="59"/>
        <v>1035711.8926833511</v>
      </c>
      <c r="E153" s="124">
        <f t="shared" si="59"/>
        <v>1112058.459998268</v>
      </c>
      <c r="F153" s="124">
        <f t="shared" si="59"/>
        <v>944241.7883088816</v>
      </c>
      <c r="G153" s="124">
        <f t="shared" si="59"/>
        <v>972244.0778298416</v>
      </c>
      <c r="H153" s="124">
        <f t="shared" si="59"/>
        <v>946104.737197815</v>
      </c>
      <c r="I153" s="124">
        <f t="shared" si="59"/>
        <v>1076887.5147156576</v>
      </c>
      <c r="J153" s="124">
        <f t="shared" si="59"/>
        <v>882461.0250720043</v>
      </c>
      <c r="K153" s="124">
        <f t="shared" si="59"/>
        <v>991447.7919598653</v>
      </c>
      <c r="L153" s="124">
        <f t="shared" si="59"/>
        <v>775302.157495432</v>
      </c>
      <c r="M153" s="124">
        <f t="shared" si="59"/>
        <v>967075.5775004631</v>
      </c>
      <c r="N153" s="124">
        <f t="shared" si="59"/>
        <v>1121501.3439222344</v>
      </c>
      <c r="O153" s="124">
        <f t="shared" si="54"/>
        <v>11940325.615770118</v>
      </c>
    </row>
    <row r="154" spans="1:15" ht="12.75">
      <c r="A154" s="62" t="s">
        <v>50</v>
      </c>
      <c r="B154" s="125">
        <v>4.593</v>
      </c>
      <c r="C154" s="124">
        <f aca="true" t="shared" si="60" ref="C154:N154">C26*$B154/100</f>
        <v>1714965.0840067377</v>
      </c>
      <c r="D154" s="124">
        <f t="shared" si="60"/>
        <v>1780737.5859602657</v>
      </c>
      <c r="E154" s="124">
        <f t="shared" si="60"/>
        <v>1993044.716472032</v>
      </c>
      <c r="F154" s="124">
        <f t="shared" si="60"/>
        <v>1939204.7184727045</v>
      </c>
      <c r="G154" s="124">
        <f t="shared" si="60"/>
        <v>1757352.9690502104</v>
      </c>
      <c r="H154" s="124">
        <f t="shared" si="60"/>
        <v>1910593.7373242164</v>
      </c>
      <c r="I154" s="124">
        <f t="shared" si="60"/>
        <v>1901674.597496853</v>
      </c>
      <c r="J154" s="124">
        <f t="shared" si="60"/>
        <v>1838355.1828495678</v>
      </c>
      <c r="K154" s="124">
        <f t="shared" si="60"/>
        <v>1979279.1804151195</v>
      </c>
      <c r="L154" s="124">
        <f t="shared" si="60"/>
        <v>1919644.1211178913</v>
      </c>
      <c r="M154" s="124">
        <f t="shared" si="60"/>
        <v>1889382.34237993</v>
      </c>
      <c r="N154" s="124">
        <f t="shared" si="60"/>
        <v>1924673.9347406554</v>
      </c>
      <c r="O154" s="124">
        <f t="shared" si="54"/>
        <v>22548912.76328618</v>
      </c>
    </row>
    <row r="155" spans="1:15" ht="12.75">
      <c r="A155" s="62" t="s">
        <v>51</v>
      </c>
      <c r="B155" s="125">
        <v>4.402</v>
      </c>
      <c r="C155" s="124">
        <f aca="true" t="shared" si="61" ref="C155:N155">C27*$B155/100</f>
        <v>3407745.3267488005</v>
      </c>
      <c r="D155" s="124">
        <f t="shared" si="61"/>
        <v>3203562.8812736003</v>
      </c>
      <c r="E155" s="124">
        <f t="shared" si="61"/>
        <v>3413223.1865538</v>
      </c>
      <c r="F155" s="124">
        <f t="shared" si="61"/>
        <v>3328471.6016088002</v>
      </c>
      <c r="G155" s="124">
        <f t="shared" si="61"/>
        <v>3374065.5173400003</v>
      </c>
      <c r="H155" s="124">
        <f t="shared" si="61"/>
        <v>3409460.9965644004</v>
      </c>
      <c r="I155" s="124">
        <f t="shared" si="61"/>
        <v>3390069.6882580006</v>
      </c>
      <c r="J155" s="124">
        <f t="shared" si="61"/>
        <v>3495160.730490401</v>
      </c>
      <c r="K155" s="124">
        <f t="shared" si="61"/>
        <v>3558437.8328218</v>
      </c>
      <c r="L155" s="124">
        <f t="shared" si="61"/>
        <v>3411130.9872662</v>
      </c>
      <c r="M155" s="124">
        <f t="shared" si="61"/>
        <v>3494010.8479672708</v>
      </c>
      <c r="N155" s="124">
        <f t="shared" si="61"/>
        <v>3304629.998563088</v>
      </c>
      <c r="O155" s="124">
        <f t="shared" si="54"/>
        <v>40789973.997456156</v>
      </c>
    </row>
    <row r="156" spans="1:15" ht="12.75">
      <c r="A156" s="62" t="s">
        <v>55</v>
      </c>
      <c r="B156" s="125">
        <v>3.993</v>
      </c>
      <c r="C156" s="124">
        <f aca="true" t="shared" si="62" ref="C156:N156">C28*$B156/100</f>
        <v>6439132.24416</v>
      </c>
      <c r="D156" s="124">
        <f t="shared" si="62"/>
        <v>5815990.41408</v>
      </c>
      <c r="E156" s="124">
        <f t="shared" si="62"/>
        <v>6383040.65652</v>
      </c>
      <c r="F156" s="124">
        <f t="shared" si="62"/>
        <v>6231418.300799999</v>
      </c>
      <c r="G156" s="124">
        <f t="shared" si="62"/>
        <v>6439132.24416</v>
      </c>
      <c r="H156" s="124">
        <f t="shared" si="62"/>
        <v>6231418.300799999</v>
      </c>
      <c r="I156" s="124">
        <f t="shared" si="62"/>
        <v>6439132.24416</v>
      </c>
      <c r="J156" s="124">
        <f t="shared" si="62"/>
        <v>6439132.24416</v>
      </c>
      <c r="K156" s="124">
        <f t="shared" si="62"/>
        <v>3548641.3907999997</v>
      </c>
      <c r="L156" s="124">
        <f t="shared" si="62"/>
        <v>1184878.0284</v>
      </c>
      <c r="M156" s="124">
        <f t="shared" si="62"/>
        <v>1502109.1008000001</v>
      </c>
      <c r="N156" s="124">
        <f t="shared" si="62"/>
        <v>1552179.4041600002</v>
      </c>
      <c r="O156" s="124">
        <f t="shared" si="54"/>
        <v>58206208.56599999</v>
      </c>
    </row>
    <row r="157" spans="1:15" ht="12.75">
      <c r="A157" s="62" t="s">
        <v>52</v>
      </c>
      <c r="B157" s="125">
        <v>4.538</v>
      </c>
      <c r="C157" s="124">
        <f aca="true" t="shared" si="63" ref="C157:N157">C29*$B157/100</f>
        <v>926707.97508</v>
      </c>
      <c r="D157" s="124">
        <f t="shared" si="63"/>
        <v>875504.85886</v>
      </c>
      <c r="E157" s="124">
        <f t="shared" si="63"/>
        <v>879403.09162</v>
      </c>
      <c r="F157" s="124">
        <f t="shared" si="63"/>
        <v>715509.3189400001</v>
      </c>
      <c r="G157" s="124">
        <f t="shared" si="63"/>
        <v>638061.31504</v>
      </c>
      <c r="H157" s="124">
        <f t="shared" si="63"/>
        <v>574058.31602</v>
      </c>
      <c r="I157" s="124">
        <f t="shared" si="63"/>
        <v>617513.61408</v>
      </c>
      <c r="J157" s="124">
        <f t="shared" si="63"/>
        <v>615551.51902</v>
      </c>
      <c r="K157" s="124">
        <f t="shared" si="63"/>
        <v>601652.03344</v>
      </c>
      <c r="L157" s="124">
        <f t="shared" si="63"/>
        <v>692354.9000200001</v>
      </c>
      <c r="M157" s="124">
        <f t="shared" si="63"/>
        <v>758154.3119879089</v>
      </c>
      <c r="N157" s="124">
        <f t="shared" si="63"/>
        <v>899427.1217288959</v>
      </c>
      <c r="O157" s="124">
        <f t="shared" si="54"/>
        <v>8793902.913836805</v>
      </c>
    </row>
    <row r="158" spans="1:15" ht="12.75">
      <c r="A158" s="62" t="s">
        <v>53</v>
      </c>
      <c r="B158" s="125">
        <v>4.816</v>
      </c>
      <c r="C158" s="124">
        <f aca="true" t="shared" si="64" ref="C158:N158">C30*$B158/100</f>
        <v>426781.9880207152</v>
      </c>
      <c r="D158" s="124">
        <f t="shared" si="64"/>
        <v>429440.2225338909</v>
      </c>
      <c r="E158" s="124">
        <f t="shared" si="64"/>
        <v>478070.8178543765</v>
      </c>
      <c r="F158" s="124">
        <f t="shared" si="64"/>
        <v>444280.75035990425</v>
      </c>
      <c r="G158" s="124">
        <f t="shared" si="64"/>
        <v>477121.05235847906</v>
      </c>
      <c r="H158" s="124">
        <f t="shared" si="64"/>
        <v>431099.43009923084</v>
      </c>
      <c r="I158" s="124">
        <f t="shared" si="64"/>
        <v>449681.9040143365</v>
      </c>
      <c r="J158" s="124">
        <f t="shared" si="64"/>
        <v>459135.27609518036</v>
      </c>
      <c r="K158" s="124">
        <f t="shared" si="64"/>
        <v>475614.3514360836</v>
      </c>
      <c r="L158" s="124">
        <f t="shared" si="64"/>
        <v>447361.43919091945</v>
      </c>
      <c r="M158" s="124">
        <f t="shared" si="64"/>
        <v>483105.3596864064</v>
      </c>
      <c r="N158" s="124">
        <f t="shared" si="64"/>
        <v>486133.1612505143</v>
      </c>
      <c r="O158" s="124">
        <f t="shared" si="54"/>
        <v>5487830.568900037</v>
      </c>
    </row>
    <row r="159" spans="1:15" ht="12.75">
      <c r="A159" s="62" t="s">
        <v>106</v>
      </c>
      <c r="B159" s="125"/>
      <c r="C159" s="124">
        <f aca="true" t="shared" si="65" ref="C159:O159">SUM(C149:C158)</f>
        <v>53158098.9949767</v>
      </c>
      <c r="D159" s="124">
        <f t="shared" si="65"/>
        <v>49266606.67913022</v>
      </c>
      <c r="E159" s="124">
        <f t="shared" si="65"/>
        <v>50156316.71298305</v>
      </c>
      <c r="F159" s="124">
        <f t="shared" si="65"/>
        <v>42776188.66053349</v>
      </c>
      <c r="G159" s="124">
        <f t="shared" si="65"/>
        <v>41254257.38273307</v>
      </c>
      <c r="H159" s="124">
        <f t="shared" si="65"/>
        <v>38063212.541961856</v>
      </c>
      <c r="I159" s="124">
        <f t="shared" si="65"/>
        <v>38604245.417051196</v>
      </c>
      <c r="J159" s="124">
        <f t="shared" si="65"/>
        <v>38232865.85784406</v>
      </c>
      <c r="K159" s="124">
        <f t="shared" si="65"/>
        <v>35250591.714268275</v>
      </c>
      <c r="L159" s="124">
        <f t="shared" si="65"/>
        <v>34721343.5626354</v>
      </c>
      <c r="M159" s="124">
        <f t="shared" si="65"/>
        <v>37862857.39332273</v>
      </c>
      <c r="N159" s="124">
        <f t="shared" si="65"/>
        <v>45086551.036418505</v>
      </c>
      <c r="O159" s="124">
        <f t="shared" si="65"/>
        <v>504433177.3238585</v>
      </c>
    </row>
    <row r="160" spans="2:15" ht="12.75"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1:15" ht="12.75">
      <c r="A161" s="63" t="s">
        <v>91</v>
      </c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1:15" ht="12.75">
      <c r="A162" s="62" t="s">
        <v>293</v>
      </c>
      <c r="B162" s="125">
        <v>4.402</v>
      </c>
      <c r="C162" s="124">
        <f>C34*$B162/100</f>
        <v>682221.96</v>
      </c>
      <c r="D162" s="124">
        <f aca="true" t="shared" si="66" ref="D162:N162">D34*$B162/100</f>
        <v>549105.48</v>
      </c>
      <c r="E162" s="124">
        <f t="shared" si="66"/>
        <v>680373.12</v>
      </c>
      <c r="F162" s="124">
        <f t="shared" si="66"/>
        <v>637849.8</v>
      </c>
      <c r="G162" s="124">
        <f t="shared" si="66"/>
        <v>682221.96</v>
      </c>
      <c r="H162" s="124">
        <f t="shared" si="66"/>
        <v>637849.8</v>
      </c>
      <c r="I162" s="124">
        <f t="shared" si="66"/>
        <v>682221.96</v>
      </c>
      <c r="J162" s="124">
        <f t="shared" si="66"/>
        <v>682221.96</v>
      </c>
      <c r="K162" s="124">
        <f t="shared" si="66"/>
        <v>637849.8</v>
      </c>
      <c r="L162" s="124">
        <f t="shared" si="66"/>
        <v>682221.96</v>
      </c>
      <c r="M162" s="124">
        <f t="shared" si="66"/>
        <v>637849.8</v>
      </c>
      <c r="N162" s="124">
        <f t="shared" si="66"/>
        <v>682221.96</v>
      </c>
      <c r="O162" s="124">
        <f>SUM(B162:N162)</f>
        <v>7874213.961999999</v>
      </c>
    </row>
    <row r="163" spans="1:15" ht="12.75">
      <c r="A163" s="62" t="s">
        <v>294</v>
      </c>
      <c r="B163" s="125">
        <f>(0.06226-0.005)*100</f>
        <v>5.726000000000001</v>
      </c>
      <c r="C163" s="124">
        <f>C34*$B163/100</f>
        <v>887415.4800000001</v>
      </c>
      <c r="D163" s="124">
        <f aca="true" t="shared" si="67" ref="D163:N163">D34*$B163/100</f>
        <v>714261.2400000001</v>
      </c>
      <c r="E163" s="124">
        <f t="shared" si="67"/>
        <v>885010.5600000002</v>
      </c>
      <c r="F163" s="124">
        <f t="shared" si="67"/>
        <v>829697.4000000001</v>
      </c>
      <c r="G163" s="124">
        <f t="shared" si="67"/>
        <v>887415.4800000001</v>
      </c>
      <c r="H163" s="124">
        <f t="shared" si="67"/>
        <v>829697.4000000001</v>
      </c>
      <c r="I163" s="124">
        <f t="shared" si="67"/>
        <v>887415.4800000001</v>
      </c>
      <c r="J163" s="124">
        <f t="shared" si="67"/>
        <v>887415.4800000001</v>
      </c>
      <c r="K163" s="124">
        <f t="shared" si="67"/>
        <v>829697.4000000001</v>
      </c>
      <c r="L163" s="124">
        <f t="shared" si="67"/>
        <v>887415.4800000001</v>
      </c>
      <c r="M163" s="124">
        <f t="shared" si="67"/>
        <v>829697.4000000001</v>
      </c>
      <c r="N163" s="124">
        <f t="shared" si="67"/>
        <v>887415.4800000001</v>
      </c>
      <c r="O163" s="124">
        <f>SUM(B163:N163)</f>
        <v>10242560.006000003</v>
      </c>
    </row>
    <row r="164" spans="1:15" ht="12.75">
      <c r="A164" s="62" t="s">
        <v>74</v>
      </c>
      <c r="B164" s="125"/>
      <c r="C164" s="124">
        <f>C162*'Monthly Fuel Cost Allocation'!$A$2+(1-'Monthly Fuel Cost Allocation'!$A$2)*'Data Inputs - 2011'!C163</f>
        <v>887415.4800000001</v>
      </c>
      <c r="D164" s="124">
        <f>D162*'Monthly Fuel Cost Allocation'!$A$2+(1-'Monthly Fuel Cost Allocation'!$A$2)*'Data Inputs - 2011'!D163</f>
        <v>714261.2400000001</v>
      </c>
      <c r="E164" s="124">
        <f>E162*'Monthly Fuel Cost Allocation'!$A$2+(1-'Monthly Fuel Cost Allocation'!$A$2)*'Data Inputs - 2011'!E163</f>
        <v>885010.5600000002</v>
      </c>
      <c r="F164" s="124">
        <f>F162*'Monthly Fuel Cost Allocation'!$A$2+(1-'Monthly Fuel Cost Allocation'!$A$2)*'Data Inputs - 2011'!F163</f>
        <v>829697.4000000001</v>
      </c>
      <c r="G164" s="124">
        <f>G162*'Monthly Fuel Cost Allocation'!$A$2+(1-'Monthly Fuel Cost Allocation'!$A$2)*'Data Inputs - 2011'!G163</f>
        <v>887415.4800000001</v>
      </c>
      <c r="H164" s="124">
        <f>H162*'Monthly Fuel Cost Allocation'!$A$2+(1-'Monthly Fuel Cost Allocation'!$A$2)*'Data Inputs - 2011'!H163</f>
        <v>829697.4000000001</v>
      </c>
      <c r="I164" s="124">
        <f>I162*'Monthly Fuel Cost Allocation'!$A$2+(1-'Monthly Fuel Cost Allocation'!$A$2)*'Data Inputs - 2011'!I163</f>
        <v>887415.4800000001</v>
      </c>
      <c r="J164" s="124">
        <f>J162*'Monthly Fuel Cost Allocation'!$A$2+(1-'Monthly Fuel Cost Allocation'!$A$2)*'Data Inputs - 2011'!J163</f>
        <v>887415.4800000001</v>
      </c>
      <c r="K164" s="124">
        <f>K162*'Monthly Fuel Cost Allocation'!$A$2+(1-'Monthly Fuel Cost Allocation'!$A$2)*'Data Inputs - 2011'!K163</f>
        <v>829697.4000000001</v>
      </c>
      <c r="L164" s="124">
        <f>L162*'Monthly Fuel Cost Allocation'!$A$2+(1-'Monthly Fuel Cost Allocation'!$A$2)*'Data Inputs - 2011'!L163</f>
        <v>887415.4800000001</v>
      </c>
      <c r="M164" s="124">
        <f>M162*'Monthly Fuel Cost Allocation'!$A$2+(1-'Monthly Fuel Cost Allocation'!$A$2)*'Data Inputs - 2011'!M163</f>
        <v>829697.4000000001</v>
      </c>
      <c r="N164" s="124">
        <f>N162*'Monthly Fuel Cost Allocation'!$A$2+(1-'Monthly Fuel Cost Allocation'!$A$2)*'Data Inputs - 2011'!N163</f>
        <v>887415.4800000001</v>
      </c>
      <c r="O164" s="124">
        <f>SUM(B164:N164)</f>
        <v>10242554.280000003</v>
      </c>
    </row>
    <row r="165" spans="2:15" ht="12.75"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1:15" ht="12.75">
      <c r="A166" s="62" t="s">
        <v>44</v>
      </c>
      <c r="B166" s="125"/>
      <c r="C166" s="124">
        <f>+C159+C164</f>
        <v>54045514.474976696</v>
      </c>
      <c r="D166" s="124">
        <f aca="true" t="shared" si="68" ref="D166:O166">+D159+D164</f>
        <v>49980867.91913022</v>
      </c>
      <c r="E166" s="124">
        <f t="shared" si="68"/>
        <v>51041327.27298305</v>
      </c>
      <c r="F166" s="124">
        <f t="shared" si="68"/>
        <v>43605886.06053349</v>
      </c>
      <c r="G166" s="124">
        <f t="shared" si="68"/>
        <v>42141672.862733066</v>
      </c>
      <c r="H166" s="124">
        <f t="shared" si="68"/>
        <v>38892909.941961855</v>
      </c>
      <c r="I166" s="124">
        <f t="shared" si="68"/>
        <v>39491660.89705119</v>
      </c>
      <c r="J166" s="124">
        <f t="shared" si="68"/>
        <v>39120281.33784406</v>
      </c>
      <c r="K166" s="124">
        <f t="shared" si="68"/>
        <v>36080289.11426827</v>
      </c>
      <c r="L166" s="124">
        <f t="shared" si="68"/>
        <v>35608759.042635396</v>
      </c>
      <c r="M166" s="124">
        <f t="shared" si="68"/>
        <v>38692554.79332273</v>
      </c>
      <c r="N166" s="124">
        <f t="shared" si="68"/>
        <v>45973966.5164185</v>
      </c>
      <c r="O166" s="124">
        <f t="shared" si="68"/>
        <v>514675731.60385853</v>
      </c>
    </row>
    <row r="167" spans="2:15" ht="12.75">
      <c r="B167" s="125">
        <f>(0.06226)*100</f>
        <v>6.226</v>
      </c>
      <c r="C167" s="124">
        <f>C34*$B167/100</f>
        <v>964905.48</v>
      </c>
      <c r="D167" s="124">
        <f aca="true" t="shared" si="69" ref="D167:N167">D34*$B167/100</f>
        <v>776631.24</v>
      </c>
      <c r="E167" s="124">
        <f t="shared" si="69"/>
        <v>962290.56</v>
      </c>
      <c r="F167" s="124">
        <f t="shared" si="69"/>
        <v>902147.4</v>
      </c>
      <c r="G167" s="124">
        <f t="shared" si="69"/>
        <v>964905.48</v>
      </c>
      <c r="H167" s="124">
        <f t="shared" si="69"/>
        <v>902147.4</v>
      </c>
      <c r="I167" s="124">
        <f t="shared" si="69"/>
        <v>964905.48</v>
      </c>
      <c r="J167" s="124">
        <f t="shared" si="69"/>
        <v>964905.48</v>
      </c>
      <c r="K167" s="124">
        <f t="shared" si="69"/>
        <v>902147.4</v>
      </c>
      <c r="L167" s="124">
        <f t="shared" si="69"/>
        <v>964905.48</v>
      </c>
      <c r="M167" s="124">
        <f t="shared" si="69"/>
        <v>902147.4</v>
      </c>
      <c r="N167" s="124">
        <f t="shared" si="69"/>
        <v>964905.48</v>
      </c>
      <c r="O167" s="124">
        <f>SUM(B167:N167)</f>
        <v>11136950.506000003</v>
      </c>
    </row>
    <row r="169" ht="15.75">
      <c r="A169" s="122" t="s">
        <v>258</v>
      </c>
    </row>
    <row r="170" spans="1:2" ht="12.75">
      <c r="A170" s="62" t="s">
        <v>259</v>
      </c>
      <c r="B170" s="127">
        <v>0.07870091037018022</v>
      </c>
    </row>
    <row r="171" spans="1:15" ht="12.75">
      <c r="A171" s="63" t="s">
        <v>260</v>
      </c>
      <c r="C171" s="66">
        <f>(C2-C5+C7+C8)-(C15+C53+C54+C6)</f>
        <v>65740462.77238787</v>
      </c>
      <c r="D171" s="66">
        <f aca="true" t="shared" si="70" ref="D171:N171">(D2-D5+D7+D8)-(D15+D53+D54+D6)</f>
        <v>55033551.550189145</v>
      </c>
      <c r="E171" s="66">
        <f t="shared" si="70"/>
        <v>49190119.65364016</v>
      </c>
      <c r="F171" s="66">
        <f t="shared" si="70"/>
        <v>43107164.55711793</v>
      </c>
      <c r="G171" s="66">
        <f t="shared" si="70"/>
        <v>38499023.89397808</v>
      </c>
      <c r="H171" s="66">
        <f t="shared" si="70"/>
        <v>44121911.79489993</v>
      </c>
      <c r="I171" s="66">
        <f t="shared" si="70"/>
        <v>42458368.33425883</v>
      </c>
      <c r="J171" s="66">
        <f t="shared" si="70"/>
        <v>44707325.39535386</v>
      </c>
      <c r="K171" s="66">
        <f t="shared" si="70"/>
        <v>38462642.317101106</v>
      </c>
      <c r="L171" s="66">
        <f t="shared" si="70"/>
        <v>39546967.40795474</v>
      </c>
      <c r="M171" s="66">
        <f t="shared" si="70"/>
        <v>40398424.49358313</v>
      </c>
      <c r="N171" s="66">
        <f t="shared" si="70"/>
        <v>49571827.16513205</v>
      </c>
      <c r="O171" s="66">
        <f>SUM(C171:N171)</f>
        <v>550837789.3355969</v>
      </c>
    </row>
    <row r="172" spans="1:15" ht="12.75">
      <c r="A172" s="67" t="s">
        <v>261</v>
      </c>
      <c r="C172" s="128">
        <f>C117</f>
        <v>54045514.474976696</v>
      </c>
      <c r="D172" s="128">
        <f aca="true" t="shared" si="71" ref="D172:N172">D117</f>
        <v>49980867.91913022</v>
      </c>
      <c r="E172" s="128">
        <f t="shared" si="71"/>
        <v>51041327.27298305</v>
      </c>
      <c r="F172" s="128">
        <f t="shared" si="71"/>
        <v>43605886.06053349</v>
      </c>
      <c r="G172" s="128">
        <f t="shared" si="71"/>
        <v>42141672.862733066</v>
      </c>
      <c r="H172" s="128">
        <f t="shared" si="71"/>
        <v>38892909.941961855</v>
      </c>
      <c r="I172" s="128">
        <f t="shared" si="71"/>
        <v>39491660.89705119</v>
      </c>
      <c r="J172" s="128">
        <f t="shared" si="71"/>
        <v>39120281.33784406</v>
      </c>
      <c r="K172" s="128">
        <f t="shared" si="71"/>
        <v>36080289.11426827</v>
      </c>
      <c r="L172" s="128">
        <f t="shared" si="71"/>
        <v>35608759.042635396</v>
      </c>
      <c r="M172" s="128">
        <f t="shared" si="71"/>
        <v>38692554.79332273</v>
      </c>
      <c r="N172" s="128">
        <f t="shared" si="71"/>
        <v>45973966.5164185</v>
      </c>
      <c r="O172" s="128">
        <f>SUM(C172:N172)</f>
        <v>514675690.2338585</v>
      </c>
    </row>
    <row r="173" spans="1:15" ht="12.75">
      <c r="A173" s="67" t="s">
        <v>256</v>
      </c>
      <c r="C173" s="128">
        <f>+C171-C172</f>
        <v>11694948.297411174</v>
      </c>
      <c r="D173" s="128">
        <f aca="true" t="shared" si="72" ref="D173:N173">+D171-D172</f>
        <v>5052683.631058924</v>
      </c>
      <c r="E173" s="319">
        <f t="shared" si="72"/>
        <v>-1851207.6193428934</v>
      </c>
      <c r="F173" s="319">
        <f t="shared" si="72"/>
        <v>-498721.50341555476</v>
      </c>
      <c r="G173" s="319">
        <f t="shared" si="72"/>
        <v>-3642648.9687549844</v>
      </c>
      <c r="H173" s="128">
        <f t="shared" si="72"/>
        <v>5229001.852938078</v>
      </c>
      <c r="I173" s="128">
        <f t="shared" si="72"/>
        <v>2966707.437207639</v>
      </c>
      <c r="J173" s="128">
        <f t="shared" si="72"/>
        <v>5587044.057509802</v>
      </c>
      <c r="K173" s="128">
        <f t="shared" si="72"/>
        <v>2382353.202832833</v>
      </c>
      <c r="L173" s="128">
        <f t="shared" si="72"/>
        <v>3938208.3653193414</v>
      </c>
      <c r="M173" s="128">
        <f t="shared" si="72"/>
        <v>1705869.7002604008</v>
      </c>
      <c r="N173" s="128">
        <f t="shared" si="72"/>
        <v>3597860.6487135515</v>
      </c>
      <c r="O173" s="128">
        <f>SUM(C173:N173)</f>
        <v>36162099.10173831</v>
      </c>
    </row>
    <row r="174" spans="1:15" ht="12.75">
      <c r="A174" s="67" t="s">
        <v>262</v>
      </c>
      <c r="C174" s="128">
        <f>C173</f>
        <v>11694948.297411174</v>
      </c>
      <c r="D174" s="128">
        <f>+D173+C174</f>
        <v>16747631.928470097</v>
      </c>
      <c r="E174" s="128">
        <f aca="true" t="shared" si="73" ref="E174:N174">+E173+D174</f>
        <v>14896424.309127204</v>
      </c>
      <c r="F174" s="128">
        <f t="shared" si="73"/>
        <v>14397702.80571165</v>
      </c>
      <c r="G174" s="128">
        <f t="shared" si="73"/>
        <v>10755053.836956665</v>
      </c>
      <c r="H174" s="128">
        <f t="shared" si="73"/>
        <v>15984055.689894743</v>
      </c>
      <c r="I174" s="128">
        <f t="shared" si="73"/>
        <v>18950763.127102382</v>
      </c>
      <c r="J174" s="128">
        <f t="shared" si="73"/>
        <v>24537807.184612185</v>
      </c>
      <c r="K174" s="128">
        <f t="shared" si="73"/>
        <v>26920160.387445018</v>
      </c>
      <c r="L174" s="128">
        <f t="shared" si="73"/>
        <v>30858368.75276436</v>
      </c>
      <c r="M174" s="128">
        <f t="shared" si="73"/>
        <v>32564238.45302476</v>
      </c>
      <c r="N174" s="128">
        <f t="shared" si="73"/>
        <v>36162099.10173831</v>
      </c>
      <c r="O174" s="128"/>
    </row>
    <row r="175" spans="1:15" ht="12.75">
      <c r="A175" s="67" t="s">
        <v>263</v>
      </c>
      <c r="C175" s="128">
        <f>C174*$B$170/12</f>
        <v>76700.25647820404</v>
      </c>
      <c r="D175" s="128">
        <f aca="true" t="shared" si="74" ref="D175:M175">D174*$B$170/12</f>
        <v>109837.82327627447</v>
      </c>
      <c r="E175" s="128">
        <f t="shared" si="74"/>
        <v>97696.84619906616</v>
      </c>
      <c r="F175" s="128">
        <f t="shared" si="74"/>
        <v>94426.02650406706</v>
      </c>
      <c r="G175" s="128">
        <f t="shared" si="74"/>
        <v>70536.04400406578</v>
      </c>
      <c r="H175" s="128">
        <f t="shared" si="74"/>
        <v>104829.97785019795</v>
      </c>
      <c r="I175" s="128">
        <f t="shared" si="74"/>
        <v>124286.85919271673</v>
      </c>
      <c r="J175" s="128">
        <f t="shared" si="74"/>
        <v>160928.98032641064</v>
      </c>
      <c r="K175" s="128">
        <f t="shared" si="74"/>
        <v>176553.42748359885</v>
      </c>
      <c r="L175" s="128">
        <f t="shared" si="74"/>
        <v>202381.80944843983</v>
      </c>
      <c r="M175" s="128">
        <f t="shared" si="74"/>
        <v>213569.60098038983</v>
      </c>
      <c r="N175" s="128">
        <f>N174*$B$170/12</f>
        <v>237165.84335029012</v>
      </c>
      <c r="O175" s="128">
        <f>SUM(C175:N175)</f>
        <v>1668913.4950937214</v>
      </c>
    </row>
  </sheetData>
  <sheetProtection/>
  <conditionalFormatting sqref="C28:N28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fitToWidth="1" horizontalDpi="600" verticalDpi="600" orientation="landscape" paperSize="17" scale="58" r:id="rId1"/>
  <rowBreaks count="1" manualBreakCount="1">
    <brk id="8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60" zoomScalePageLayoutView="0" workbookViewId="0" topLeftCell="A1">
      <pane xSplit="1" ySplit="1" topLeftCell="B2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A30" sqref="A30"/>
    </sheetView>
  </sheetViews>
  <sheetFormatPr defaultColWidth="9.140625" defaultRowHeight="12.75"/>
  <cols>
    <col min="1" max="1" width="34.7109375" style="3" bestFit="1" customWidth="1"/>
    <col min="2" max="2" width="18.7109375" style="3" bestFit="1" customWidth="1"/>
    <col min="3" max="3" width="20.140625" style="3" bestFit="1" customWidth="1"/>
    <col min="4" max="4" width="19.00390625" style="3" bestFit="1" customWidth="1"/>
    <col min="5" max="5" width="17.7109375" style="3" bestFit="1" customWidth="1"/>
    <col min="6" max="6" width="18.00390625" style="3" bestFit="1" customWidth="1"/>
    <col min="7" max="7" width="17.7109375" style="3" bestFit="1" customWidth="1"/>
    <col min="8" max="8" width="18.28125" style="3" bestFit="1" customWidth="1"/>
    <col min="9" max="10" width="18.00390625" style="3" bestFit="1" customWidth="1"/>
    <col min="11" max="11" width="17.28125" style="3" bestFit="1" customWidth="1"/>
    <col min="12" max="12" width="18.00390625" style="3" bestFit="1" customWidth="1"/>
    <col min="13" max="13" width="19.421875" style="3" bestFit="1" customWidth="1"/>
    <col min="14" max="14" width="20.421875" style="3" bestFit="1" customWidth="1"/>
    <col min="15" max="16384" width="9.140625" style="3" customWidth="1"/>
  </cols>
  <sheetData>
    <row r="1" spans="1:14" s="176" customFormat="1" ht="12.75">
      <c r="A1" s="164" t="s">
        <v>87</v>
      </c>
      <c r="B1" s="310" t="s">
        <v>75</v>
      </c>
      <c r="C1" s="310" t="s">
        <v>76</v>
      </c>
      <c r="D1" s="310" t="s">
        <v>77</v>
      </c>
      <c r="E1" s="310" t="s">
        <v>78</v>
      </c>
      <c r="F1" s="310" t="s">
        <v>79</v>
      </c>
      <c r="G1" s="310" t="s">
        <v>80</v>
      </c>
      <c r="H1" s="310" t="s">
        <v>81</v>
      </c>
      <c r="I1" s="310" t="s">
        <v>82</v>
      </c>
      <c r="J1" s="310" t="s">
        <v>83</v>
      </c>
      <c r="K1" s="310" t="s">
        <v>84</v>
      </c>
      <c r="L1" s="310" t="s">
        <v>85</v>
      </c>
      <c r="M1" s="310" t="s">
        <v>86</v>
      </c>
      <c r="N1" s="310" t="s">
        <v>44</v>
      </c>
    </row>
    <row r="2" spans="1:14" ht="15.75">
      <c r="A2" s="86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2"/>
    </row>
    <row r="3" ht="12.75">
      <c r="A3" s="20" t="s">
        <v>39</v>
      </c>
    </row>
    <row r="4" spans="1:14" ht="12.75">
      <c r="A4" s="11" t="s">
        <v>93</v>
      </c>
      <c r="B4" s="5">
        <v>499163301.3184339</v>
      </c>
      <c r="C4" s="5">
        <v>433816150.07748866</v>
      </c>
      <c r="D4" s="5">
        <v>434893043.9262909</v>
      </c>
      <c r="E4" s="5">
        <v>347393103.22798294</v>
      </c>
      <c r="F4" s="5">
        <v>315034794.5680765</v>
      </c>
      <c r="G4" s="5">
        <v>261044221.94733205</v>
      </c>
      <c r="H4" s="5">
        <v>263864324.72612455</v>
      </c>
      <c r="I4" s="5">
        <v>258875424.0124441</v>
      </c>
      <c r="J4" s="5">
        <v>258342178.87723064</v>
      </c>
      <c r="K4" s="5">
        <v>295220942.57098216</v>
      </c>
      <c r="L4" s="5">
        <v>341060150.28075904</v>
      </c>
      <c r="M4" s="5">
        <v>445876337.59579873</v>
      </c>
      <c r="N4" s="8">
        <f>SUM(B4:M4)</f>
        <v>4154583973.1289434</v>
      </c>
    </row>
    <row r="5" spans="1:14" ht="15">
      <c r="A5" s="11" t="s">
        <v>94</v>
      </c>
      <c r="B5" s="105">
        <v>30792208.67215784</v>
      </c>
      <c r="C5" s="105">
        <v>25983733.442053027</v>
      </c>
      <c r="D5" s="105">
        <v>25494426.316768616</v>
      </c>
      <c r="E5" s="105">
        <v>20691133.70630938</v>
      </c>
      <c r="F5" s="105">
        <v>15601414.235470291</v>
      </c>
      <c r="G5" s="105">
        <v>9875887.733646277</v>
      </c>
      <c r="H5" s="105">
        <v>8538975.576872598</v>
      </c>
      <c r="I5" s="105">
        <v>7935624.797547605</v>
      </c>
      <c r="J5" s="105">
        <v>8849148.609374203</v>
      </c>
      <c r="K5" s="105">
        <v>12456825.980610264</v>
      </c>
      <c r="L5" s="105">
        <v>18965498.22830268</v>
      </c>
      <c r="M5" s="105">
        <v>32769017.20642105</v>
      </c>
      <c r="N5" s="118">
        <f aca="true" t="shared" si="0" ref="N5:N15">SUM(B5:M5)</f>
        <v>217953894.5055338</v>
      </c>
    </row>
    <row r="6" spans="1:14" ht="12.75">
      <c r="A6" s="11" t="s">
        <v>95</v>
      </c>
      <c r="B6" s="8">
        <f>SUM(B4:B5)</f>
        <v>529955509.9905917</v>
      </c>
      <c r="C6" s="8">
        <f aca="true" t="shared" si="1" ref="C6:M6">SUM(C4:C5)</f>
        <v>459799883.5195417</v>
      </c>
      <c r="D6" s="8">
        <f t="shared" si="1"/>
        <v>460387470.2430595</v>
      </c>
      <c r="E6" s="8">
        <f t="shared" si="1"/>
        <v>368084236.9342923</v>
      </c>
      <c r="F6" s="8">
        <f t="shared" si="1"/>
        <v>330636208.8035468</v>
      </c>
      <c r="G6" s="8">
        <f t="shared" si="1"/>
        <v>270920109.68097836</v>
      </c>
      <c r="H6" s="8">
        <f t="shared" si="1"/>
        <v>272403300.3029972</v>
      </c>
      <c r="I6" s="8">
        <f t="shared" si="1"/>
        <v>266811048.80999172</v>
      </c>
      <c r="J6" s="8">
        <f t="shared" si="1"/>
        <v>267191327.48660484</v>
      </c>
      <c r="K6" s="8">
        <f t="shared" si="1"/>
        <v>307677768.5515924</v>
      </c>
      <c r="L6" s="8">
        <f t="shared" si="1"/>
        <v>360025648.5090617</v>
      </c>
      <c r="M6" s="8">
        <f t="shared" si="1"/>
        <v>478645354.8022198</v>
      </c>
      <c r="N6" s="8">
        <f t="shared" si="0"/>
        <v>4372537867.634478</v>
      </c>
    </row>
    <row r="7" spans="1:14" ht="12.75">
      <c r="A7" s="3" t="s">
        <v>46</v>
      </c>
      <c r="B7" s="5">
        <v>24058154.845294427</v>
      </c>
      <c r="C7" s="5">
        <v>22094774.36181779</v>
      </c>
      <c r="D7" s="5">
        <v>21160188.008371253</v>
      </c>
      <c r="E7" s="5">
        <v>17946423.39572243</v>
      </c>
      <c r="F7" s="5">
        <v>16444737.747166073</v>
      </c>
      <c r="G7" s="5">
        <v>15659988.17654896</v>
      </c>
      <c r="H7" s="5">
        <v>16138743.280104283</v>
      </c>
      <c r="I7" s="5">
        <v>16246669.973139472</v>
      </c>
      <c r="J7" s="5">
        <v>14709451.20135866</v>
      </c>
      <c r="K7" s="5">
        <v>16405657.494972058</v>
      </c>
      <c r="L7" s="5">
        <v>17173386.48989336</v>
      </c>
      <c r="M7" s="5">
        <v>21449297.87947748</v>
      </c>
      <c r="N7" s="8">
        <f t="shared" si="0"/>
        <v>219487472.8538662</v>
      </c>
    </row>
    <row r="8" spans="1:14" ht="12.75">
      <c r="A8" s="3" t="s">
        <v>47</v>
      </c>
      <c r="B8" s="5">
        <v>243205955.10071665</v>
      </c>
      <c r="C8" s="5">
        <v>228102250.4066153</v>
      </c>
      <c r="D8" s="5">
        <v>234588784.33955202</v>
      </c>
      <c r="E8" s="5">
        <v>202976381.90185183</v>
      </c>
      <c r="F8" s="5">
        <v>191339552.3801025</v>
      </c>
      <c r="G8" s="5">
        <v>193482797.9723198</v>
      </c>
      <c r="H8" s="5">
        <v>209260031.25709492</v>
      </c>
      <c r="I8" s="5">
        <v>203474422.03263745</v>
      </c>
      <c r="J8" s="5">
        <v>188749284.15007237</v>
      </c>
      <c r="K8" s="5">
        <v>197408094.62984383</v>
      </c>
      <c r="L8" s="5">
        <v>206245424.37864938</v>
      </c>
      <c r="M8" s="5">
        <v>235174192.28696376</v>
      </c>
      <c r="N8" s="8">
        <f t="shared" si="0"/>
        <v>2534007170.8364196</v>
      </c>
    </row>
    <row r="9" spans="1:14" ht="12.75">
      <c r="A9" s="3" t="s">
        <v>48</v>
      </c>
      <c r="B9" s="5">
        <v>33625608.09432742</v>
      </c>
      <c r="C9" s="5">
        <v>30826580.81628773</v>
      </c>
      <c r="D9" s="5">
        <v>33284416.830675602</v>
      </c>
      <c r="E9" s="5">
        <v>30577140.214623153</v>
      </c>
      <c r="F9" s="5">
        <v>30579815.99859363</v>
      </c>
      <c r="G9" s="5">
        <v>32043700.289774623</v>
      </c>
      <c r="H9" s="5">
        <v>36863861.123304866</v>
      </c>
      <c r="I9" s="5">
        <v>36370413.69035967</v>
      </c>
      <c r="J9" s="5">
        <v>33808763.759771176</v>
      </c>
      <c r="K9" s="5">
        <v>32195654.21732054</v>
      </c>
      <c r="L9" s="5">
        <v>31820043.285665907</v>
      </c>
      <c r="M9" s="5">
        <v>32355293.585801065</v>
      </c>
      <c r="N9" s="8">
        <f t="shared" si="0"/>
        <v>394351291.9065054</v>
      </c>
    </row>
    <row r="10" spans="1:14" ht="12.75">
      <c r="A10" s="3" t="s">
        <v>49</v>
      </c>
      <c r="B10" s="5">
        <v>22882334.648170777</v>
      </c>
      <c r="C10" s="5">
        <v>21937063.54647495</v>
      </c>
      <c r="D10" s="5">
        <v>22002210.118915882</v>
      </c>
      <c r="E10" s="5">
        <v>20991044.777444426</v>
      </c>
      <c r="F10" s="5">
        <v>21156517.936960444</v>
      </c>
      <c r="G10" s="5">
        <v>22086013.10299823</v>
      </c>
      <c r="H10" s="5">
        <v>22450831.91863234</v>
      </c>
      <c r="I10" s="5">
        <v>22408630.745059546</v>
      </c>
      <c r="J10" s="5">
        <v>20946371.614289336</v>
      </c>
      <c r="K10" s="5">
        <v>19291699.207396273</v>
      </c>
      <c r="L10" s="5">
        <v>21159327.513763577</v>
      </c>
      <c r="M10" s="5">
        <v>24538117.59419102</v>
      </c>
      <c r="N10" s="8">
        <f t="shared" si="0"/>
        <v>261850162.72429678</v>
      </c>
    </row>
    <row r="11" spans="1:14" ht="12.75">
      <c r="A11" s="3" t="s">
        <v>50</v>
      </c>
      <c r="B11" s="5">
        <v>44144421.004735865</v>
      </c>
      <c r="C11" s="5">
        <v>39831763.78971534</v>
      </c>
      <c r="D11" s="5">
        <v>42507306.38681646</v>
      </c>
      <c r="E11" s="5">
        <v>42360011.69169449</v>
      </c>
      <c r="F11" s="5">
        <v>41856357.27321426</v>
      </c>
      <c r="G11" s="5">
        <v>43819054.069839105</v>
      </c>
      <c r="H11" s="5">
        <v>43778788.14294194</v>
      </c>
      <c r="I11" s="5">
        <v>43826091.70166588</v>
      </c>
      <c r="J11" s="5">
        <v>42686817.48231351</v>
      </c>
      <c r="K11" s="5">
        <v>43041742.95740857</v>
      </c>
      <c r="L11" s="5">
        <v>42152101.93640309</v>
      </c>
      <c r="M11" s="5">
        <v>42939457.02347003</v>
      </c>
      <c r="N11" s="8">
        <f>SUM(B11:M11)</f>
        <v>512943913.46021855</v>
      </c>
    </row>
    <row r="12" spans="1:14" ht="12.75">
      <c r="A12" s="3" t="s">
        <v>51</v>
      </c>
      <c r="B12" s="5">
        <v>75703038.55650288</v>
      </c>
      <c r="C12" s="5">
        <v>68601236.24047384</v>
      </c>
      <c r="D12" s="5">
        <v>75839465.45417616</v>
      </c>
      <c r="E12" s="5">
        <v>74997597.00112964</v>
      </c>
      <c r="F12" s="5">
        <v>77472134.77506858</v>
      </c>
      <c r="G12" s="5">
        <v>76701739.49801955</v>
      </c>
      <c r="H12" s="5">
        <v>78206345.13655725</v>
      </c>
      <c r="I12" s="5">
        <v>87481418.99747546</v>
      </c>
      <c r="J12" s="5">
        <v>81358107.12925717</v>
      </c>
      <c r="K12" s="5">
        <v>81777039.33301765</v>
      </c>
      <c r="L12" s="5">
        <v>79203168.02242666</v>
      </c>
      <c r="M12" s="5">
        <v>75302947.27839562</v>
      </c>
      <c r="N12" s="8">
        <f t="shared" si="0"/>
        <v>932644237.4225004</v>
      </c>
    </row>
    <row r="13" spans="1:14" ht="12.75">
      <c r="A13" s="3" t="s">
        <v>55</v>
      </c>
      <c r="B13" s="5">
        <v>153671712</v>
      </c>
      <c r="C13" s="5">
        <v>143757408</v>
      </c>
      <c r="D13" s="5">
        <v>153671712</v>
      </c>
      <c r="E13" s="5">
        <v>148714560</v>
      </c>
      <c r="F13" s="5">
        <v>153671712</v>
      </c>
      <c r="G13" s="5">
        <v>148714560</v>
      </c>
      <c r="H13" s="5">
        <v>153671712</v>
      </c>
      <c r="I13" s="5">
        <v>153671712</v>
      </c>
      <c r="J13" s="5">
        <v>148714560</v>
      </c>
      <c r="K13" s="5">
        <v>153671712</v>
      </c>
      <c r="L13" s="5">
        <v>148714560</v>
      </c>
      <c r="M13" s="5">
        <v>153671712</v>
      </c>
      <c r="N13" s="8">
        <f t="shared" si="0"/>
        <v>1814317632</v>
      </c>
    </row>
    <row r="14" spans="1:14" ht="12.75">
      <c r="A14" s="3" t="s">
        <v>52</v>
      </c>
      <c r="B14" s="5">
        <v>20909021.32042029</v>
      </c>
      <c r="C14" s="5">
        <v>19129220.002874926</v>
      </c>
      <c r="D14" s="5">
        <v>18619713.372918814</v>
      </c>
      <c r="E14" s="5">
        <v>15454118.849571884</v>
      </c>
      <c r="F14" s="5">
        <v>14136731.555427391</v>
      </c>
      <c r="G14" s="5">
        <v>13400646.457222233</v>
      </c>
      <c r="H14" s="5">
        <v>14718677.92978346</v>
      </c>
      <c r="I14" s="5">
        <v>14519719.893402142</v>
      </c>
      <c r="J14" s="5">
        <v>14198333.635772206</v>
      </c>
      <c r="K14" s="5">
        <v>15252395.376415223</v>
      </c>
      <c r="L14" s="5">
        <v>16990470.66396168</v>
      </c>
      <c r="M14" s="5">
        <v>20039214.640238285</v>
      </c>
      <c r="N14" s="8">
        <f t="shared" si="0"/>
        <v>197368263.69800854</v>
      </c>
    </row>
    <row r="15" spans="1:14" ht="15">
      <c r="A15" s="3" t="s">
        <v>53</v>
      </c>
      <c r="B15" s="105">
        <v>9721223.70921977</v>
      </c>
      <c r="C15" s="105">
        <v>9257728.574004222</v>
      </c>
      <c r="D15" s="105">
        <v>9705211.018701112</v>
      </c>
      <c r="E15" s="105">
        <v>9363232.250861643</v>
      </c>
      <c r="F15" s="105">
        <v>9921163.43997261</v>
      </c>
      <c r="G15" s="105">
        <v>9443188.210259667</v>
      </c>
      <c r="H15" s="105">
        <v>9281947.485614162</v>
      </c>
      <c r="I15" s="105">
        <v>9623606.007687492</v>
      </c>
      <c r="J15" s="105">
        <v>9720858.139667949</v>
      </c>
      <c r="K15" s="105">
        <v>9488896.813551757</v>
      </c>
      <c r="L15" s="105">
        <v>10074885.398105921</v>
      </c>
      <c r="M15" s="105">
        <v>10138028.464426681</v>
      </c>
      <c r="N15" s="118">
        <f t="shared" si="0"/>
        <v>115739969.51207298</v>
      </c>
    </row>
    <row r="16" spans="1:14" ht="12.75">
      <c r="A16" s="20" t="s">
        <v>56</v>
      </c>
      <c r="B16" s="119">
        <f>SUM(B6:B15)</f>
        <v>1157876979.2699797</v>
      </c>
      <c r="C16" s="119">
        <f aca="true" t="shared" si="2" ref="C16:M16">SUM(C6:C15)</f>
        <v>1043337909.2578057</v>
      </c>
      <c r="D16" s="119">
        <f t="shared" si="2"/>
        <v>1071766477.7731869</v>
      </c>
      <c r="E16" s="119">
        <f t="shared" si="2"/>
        <v>931464747.0171919</v>
      </c>
      <c r="F16" s="119">
        <f t="shared" si="2"/>
        <v>887214931.9100524</v>
      </c>
      <c r="G16" s="119">
        <f t="shared" si="2"/>
        <v>826271797.4579605</v>
      </c>
      <c r="H16" s="119">
        <f t="shared" si="2"/>
        <v>856774238.5770304</v>
      </c>
      <c r="I16" s="119">
        <f t="shared" si="2"/>
        <v>854433733.8514187</v>
      </c>
      <c r="J16" s="119">
        <f t="shared" si="2"/>
        <v>822083874.5991073</v>
      </c>
      <c r="K16" s="119">
        <f t="shared" si="2"/>
        <v>876210660.5815183</v>
      </c>
      <c r="L16" s="119">
        <f t="shared" si="2"/>
        <v>933559016.1979312</v>
      </c>
      <c r="M16" s="119">
        <f t="shared" si="2"/>
        <v>1094253615.5551841</v>
      </c>
      <c r="N16" s="120">
        <f>SUM(N6:N15)</f>
        <v>11355247982.048367</v>
      </c>
    </row>
    <row r="17" ht="12.75">
      <c r="N17" s="8"/>
    </row>
    <row r="18" spans="1:14" ht="12.75">
      <c r="A18" s="20" t="s">
        <v>91</v>
      </c>
      <c r="N18" s="8"/>
    </row>
    <row r="19" spans="1:14" ht="12.75">
      <c r="A19" s="3" t="s">
        <v>74</v>
      </c>
      <c r="B19" s="5">
        <v>15498000</v>
      </c>
      <c r="C19" s="5">
        <v>13482000</v>
      </c>
      <c r="D19" s="5">
        <v>15498000</v>
      </c>
      <c r="E19" s="5">
        <v>14490000</v>
      </c>
      <c r="F19" s="5">
        <v>15498000</v>
      </c>
      <c r="G19" s="5">
        <v>14490000</v>
      </c>
      <c r="H19" s="5">
        <v>15498000</v>
      </c>
      <c r="I19" s="5">
        <v>15498000</v>
      </c>
      <c r="J19" s="5">
        <v>14490000</v>
      </c>
      <c r="K19" s="5">
        <v>15498000</v>
      </c>
      <c r="L19" s="5">
        <v>14490000</v>
      </c>
      <c r="M19" s="5">
        <v>15498000</v>
      </c>
      <c r="N19" s="8">
        <f>SUM(B19:M19)</f>
        <v>179928000</v>
      </c>
    </row>
    <row r="20" spans="1:14" ht="12.75">
      <c r="A20" s="3" t="s">
        <v>57</v>
      </c>
      <c r="B20" s="300">
        <v>8578872</v>
      </c>
      <c r="C20" s="300">
        <v>8320560</v>
      </c>
      <c r="D20" s="300">
        <v>7626965.949999999</v>
      </c>
      <c r="E20" s="300">
        <v>8805992</v>
      </c>
      <c r="F20" s="300">
        <v>8030528.999999999</v>
      </c>
      <c r="G20" s="300">
        <v>7920793.049999999</v>
      </c>
      <c r="H20" s="300">
        <v>9180143</v>
      </c>
      <c r="I20" s="300">
        <v>10422773</v>
      </c>
      <c r="J20" s="300">
        <v>14026206</v>
      </c>
      <c r="K20" s="300">
        <v>9055569.649999999</v>
      </c>
      <c r="L20" s="300">
        <v>8653936.41</v>
      </c>
      <c r="M20" s="300">
        <v>7789142.999999999</v>
      </c>
      <c r="N20" s="8">
        <f>SUM(B20:M20)</f>
        <v>108411483.06</v>
      </c>
    </row>
    <row r="21" spans="1:14" ht="12.75">
      <c r="A21" s="79" t="s">
        <v>161</v>
      </c>
      <c r="B21" s="5">
        <v>15750000</v>
      </c>
      <c r="C21" s="5">
        <v>15750000</v>
      </c>
      <c r="D21" s="5">
        <v>15750000</v>
      </c>
      <c r="E21" s="5">
        <v>15750000</v>
      </c>
      <c r="F21" s="5">
        <v>15750000</v>
      </c>
      <c r="G21" s="5">
        <v>15750000</v>
      </c>
      <c r="H21" s="5">
        <v>15750000</v>
      </c>
      <c r="I21" s="5">
        <v>15750000</v>
      </c>
      <c r="J21" s="5">
        <v>15750000</v>
      </c>
      <c r="K21" s="5">
        <v>15750000</v>
      </c>
      <c r="L21" s="5">
        <v>15750000</v>
      </c>
      <c r="M21" s="5">
        <v>15750000</v>
      </c>
      <c r="N21" s="8">
        <f>SUM(B21:M21)</f>
        <v>189000000</v>
      </c>
    </row>
    <row r="22" spans="1:14" ht="12.75">
      <c r="A22" s="3" t="s">
        <v>245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8">
        <f>SUM(B22:M22)</f>
        <v>0</v>
      </c>
    </row>
    <row r="23" spans="1:14" ht="12.75">
      <c r="A23" s="20" t="s">
        <v>99</v>
      </c>
      <c r="B23" s="119">
        <f>SUM(B19:B22)</f>
        <v>39826872</v>
      </c>
      <c r="C23" s="119">
        <f aca="true" t="shared" si="3" ref="C23:M23">SUM(C19:C22)</f>
        <v>37552560</v>
      </c>
      <c r="D23" s="119">
        <f t="shared" si="3"/>
        <v>38874965.95</v>
      </c>
      <c r="E23" s="119">
        <f t="shared" si="3"/>
        <v>39045992</v>
      </c>
      <c r="F23" s="119">
        <f t="shared" si="3"/>
        <v>39278529</v>
      </c>
      <c r="G23" s="119">
        <f t="shared" si="3"/>
        <v>38160793.05</v>
      </c>
      <c r="H23" s="119">
        <f t="shared" si="3"/>
        <v>40428143</v>
      </c>
      <c r="I23" s="119">
        <f t="shared" si="3"/>
        <v>41670773</v>
      </c>
      <c r="J23" s="119">
        <f t="shared" si="3"/>
        <v>44266206</v>
      </c>
      <c r="K23" s="119">
        <f t="shared" si="3"/>
        <v>40303569.65</v>
      </c>
      <c r="L23" s="119">
        <f t="shared" si="3"/>
        <v>38893936.41</v>
      </c>
      <c r="M23" s="119">
        <f t="shared" si="3"/>
        <v>39037143</v>
      </c>
      <c r="N23" s="120">
        <f>SUM(N19:N22)</f>
        <v>477339483.06</v>
      </c>
    </row>
    <row r="24" ht="12.75">
      <c r="N24" s="8"/>
    </row>
    <row r="25" spans="1:14" ht="12.75">
      <c r="A25" s="20" t="s">
        <v>246</v>
      </c>
      <c r="B25" s="120">
        <f>B16+B23</f>
        <v>1197703851.2699797</v>
      </c>
      <c r="C25" s="120">
        <f aca="true" t="shared" si="4" ref="C25:M25">C16+C23</f>
        <v>1080890469.2578058</v>
      </c>
      <c r="D25" s="120">
        <f t="shared" si="4"/>
        <v>1110641443.723187</v>
      </c>
      <c r="E25" s="120">
        <f t="shared" si="4"/>
        <v>970510739.0171919</v>
      </c>
      <c r="F25" s="120">
        <f t="shared" si="4"/>
        <v>926493460.9100524</v>
      </c>
      <c r="G25" s="120">
        <f t="shared" si="4"/>
        <v>864432590.5079604</v>
      </c>
      <c r="H25" s="120">
        <f t="shared" si="4"/>
        <v>897202381.5770304</v>
      </c>
      <c r="I25" s="120">
        <f t="shared" si="4"/>
        <v>896104506.8514187</v>
      </c>
      <c r="J25" s="120">
        <f t="shared" si="4"/>
        <v>866350080.5991073</v>
      </c>
      <c r="K25" s="120">
        <f t="shared" si="4"/>
        <v>916514230.2315183</v>
      </c>
      <c r="L25" s="120">
        <f t="shared" si="4"/>
        <v>972452952.6079311</v>
      </c>
      <c r="M25" s="120">
        <f t="shared" si="4"/>
        <v>1133290758.5551841</v>
      </c>
      <c r="N25" s="120">
        <f>N16+N23</f>
        <v>11832587465.108366</v>
      </c>
    </row>
    <row r="26" ht="12.75">
      <c r="N26" s="8"/>
    </row>
    <row r="27" spans="1:14" ht="12.75">
      <c r="A27" s="20" t="s">
        <v>92</v>
      </c>
      <c r="B27" s="294">
        <v>1914000</v>
      </c>
      <c r="C27" s="294">
        <v>1916000</v>
      </c>
      <c r="D27" s="294">
        <v>6776000</v>
      </c>
      <c r="E27" s="294">
        <v>0</v>
      </c>
      <c r="F27" s="294">
        <v>0</v>
      </c>
      <c r="G27" s="294">
        <v>3000</v>
      </c>
      <c r="H27" s="294">
        <v>7760000</v>
      </c>
      <c r="I27" s="294">
        <v>4847000</v>
      </c>
      <c r="J27" s="294">
        <v>0</v>
      </c>
      <c r="K27" s="294">
        <v>2910000</v>
      </c>
      <c r="L27" s="294">
        <v>1940000</v>
      </c>
      <c r="M27" s="294">
        <v>5793000</v>
      </c>
      <c r="N27" s="120">
        <f>SUM(B27:M27)</f>
        <v>33859000</v>
      </c>
    </row>
    <row r="28" spans="1:14" ht="15">
      <c r="A28" s="169" t="s">
        <v>325</v>
      </c>
      <c r="B28" s="301">
        <v>59000</v>
      </c>
      <c r="C28" s="301">
        <v>59000</v>
      </c>
      <c r="D28" s="301">
        <v>210000</v>
      </c>
      <c r="E28" s="301">
        <v>0</v>
      </c>
      <c r="F28" s="301">
        <v>0</v>
      </c>
      <c r="G28" s="301">
        <v>0</v>
      </c>
      <c r="H28" s="301">
        <v>240000</v>
      </c>
      <c r="I28" s="301">
        <v>150000</v>
      </c>
      <c r="J28" s="301">
        <v>0</v>
      </c>
      <c r="K28" s="301">
        <v>90000</v>
      </c>
      <c r="L28" s="301">
        <v>60000</v>
      </c>
      <c r="M28" s="301">
        <v>179000</v>
      </c>
      <c r="N28" s="120">
        <f>SUM(B28:M28)</f>
        <v>1047000</v>
      </c>
    </row>
    <row r="29" spans="2:14" s="79" customFormat="1" ht="12.75">
      <c r="B29" s="314">
        <f>B27+B28</f>
        <v>1973000</v>
      </c>
      <c r="C29" s="314">
        <f aca="true" t="shared" si="5" ref="C29:M29">C27+C28</f>
        <v>1975000</v>
      </c>
      <c r="D29" s="314">
        <f t="shared" si="5"/>
        <v>6986000</v>
      </c>
      <c r="E29" s="314">
        <f t="shared" si="5"/>
        <v>0</v>
      </c>
      <c r="F29" s="314">
        <f t="shared" si="5"/>
        <v>0</v>
      </c>
      <c r="G29" s="314">
        <f t="shared" si="5"/>
        <v>3000</v>
      </c>
      <c r="H29" s="314">
        <f t="shared" si="5"/>
        <v>8000000</v>
      </c>
      <c r="I29" s="314">
        <f t="shared" si="5"/>
        <v>4997000</v>
      </c>
      <c r="J29" s="314">
        <f t="shared" si="5"/>
        <v>0</v>
      </c>
      <c r="K29" s="314">
        <f t="shared" si="5"/>
        <v>3000000</v>
      </c>
      <c r="L29" s="314">
        <f t="shared" si="5"/>
        <v>2000000</v>
      </c>
      <c r="M29" s="314">
        <f t="shared" si="5"/>
        <v>5972000</v>
      </c>
      <c r="N29" s="120">
        <f>SUM(B29:M29)</f>
        <v>34906000</v>
      </c>
    </row>
    <row r="30" spans="2:13" ht="13.5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4" ht="12.75">
      <c r="A31" s="79" t="s">
        <v>324</v>
      </c>
      <c r="B31" s="320">
        <f>B25+B27</f>
        <v>1199617851.2699797</v>
      </c>
      <c r="C31" s="320">
        <f aca="true" t="shared" si="6" ref="C31:M31">C25+C27</f>
        <v>1082806469.2578058</v>
      </c>
      <c r="D31" s="320">
        <f t="shared" si="6"/>
        <v>1117417443.723187</v>
      </c>
      <c r="E31" s="320">
        <f t="shared" si="6"/>
        <v>970510739.0171919</v>
      </c>
      <c r="F31" s="320">
        <f t="shared" si="6"/>
        <v>926493460.9100524</v>
      </c>
      <c r="G31" s="320">
        <f t="shared" si="6"/>
        <v>864435590.5079604</v>
      </c>
      <c r="H31" s="320">
        <f t="shared" si="6"/>
        <v>904962381.5770304</v>
      </c>
      <c r="I31" s="320">
        <f t="shared" si="6"/>
        <v>900951506.8514187</v>
      </c>
      <c r="J31" s="320">
        <f t="shared" si="6"/>
        <v>866350080.5991073</v>
      </c>
      <c r="K31" s="320">
        <f t="shared" si="6"/>
        <v>919424230.2315183</v>
      </c>
      <c r="L31" s="320">
        <f>L25+L27</f>
        <v>974392952.6079311</v>
      </c>
      <c r="M31" s="320">
        <f t="shared" si="6"/>
        <v>1139083758.5551841</v>
      </c>
      <c r="N31" s="8">
        <f>SUM(B31:M31)</f>
        <v>11866446465.108364</v>
      </c>
    </row>
    <row r="32" spans="1:14" ht="12.75">
      <c r="A32" s="79" t="s">
        <v>136</v>
      </c>
      <c r="B32" s="321">
        <v>1293794995.0420094</v>
      </c>
      <c r="C32" s="321">
        <v>1168598438.7573028</v>
      </c>
      <c r="D32" s="321">
        <v>1197746987.5721262</v>
      </c>
      <c r="E32" s="321">
        <v>1035710258.520862</v>
      </c>
      <c r="F32" s="321">
        <v>989059401.177272</v>
      </c>
      <c r="G32" s="321">
        <v>910896620.3216109</v>
      </c>
      <c r="H32" s="321">
        <v>946254358.9163003</v>
      </c>
      <c r="I32" s="321">
        <v>951452352.5771335</v>
      </c>
      <c r="J32" s="321">
        <v>910475832.071868</v>
      </c>
      <c r="K32" s="321">
        <v>972762792.448806</v>
      </c>
      <c r="L32" s="321">
        <v>1035877824.0352029</v>
      </c>
      <c r="M32" s="321">
        <v>1234482169.6868703</v>
      </c>
      <c r="N32" s="8">
        <f>SUM(B32:M32)</f>
        <v>12647112031.127361</v>
      </c>
    </row>
    <row r="33" spans="1:14" ht="12.75">
      <c r="A33" s="79" t="s">
        <v>283</v>
      </c>
      <c r="B33" s="321">
        <v>1295767995.0420094</v>
      </c>
      <c r="C33" s="321">
        <v>1170573438.7573028</v>
      </c>
      <c r="D33" s="321">
        <v>1204732987.5721262</v>
      </c>
      <c r="E33" s="321">
        <v>1035710258.520862</v>
      </c>
      <c r="F33" s="321">
        <v>989059401.177272</v>
      </c>
      <c r="G33" s="321">
        <v>910899620.3216109</v>
      </c>
      <c r="H33" s="321">
        <v>954254358.9163003</v>
      </c>
      <c r="I33" s="321">
        <v>956449352.5771335</v>
      </c>
      <c r="J33" s="321">
        <v>910475832.071868</v>
      </c>
      <c r="K33" s="321">
        <v>975762792.448806</v>
      </c>
      <c r="L33" s="321">
        <v>1037877824.0352029</v>
      </c>
      <c r="M33" s="321">
        <v>1240454169.6868703</v>
      </c>
      <c r="N33" s="8">
        <f>SUM(B33:M33)</f>
        <v>12682018031.127361</v>
      </c>
    </row>
    <row r="34" spans="1:14" ht="12.75">
      <c r="A34" s="7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8"/>
    </row>
    <row r="35" ht="12.75">
      <c r="E35" s="9"/>
    </row>
    <row r="36" spans="1:14" ht="12.75">
      <c r="A36" s="3" t="s">
        <v>55</v>
      </c>
      <c r="B36" s="5">
        <v>153671712</v>
      </c>
      <c r="C36" s="5">
        <v>143757408</v>
      </c>
      <c r="D36" s="5">
        <v>153671712</v>
      </c>
      <c r="E36" s="5">
        <v>148714560</v>
      </c>
      <c r="F36" s="5">
        <v>153671712</v>
      </c>
      <c r="G36" s="5">
        <v>148714560</v>
      </c>
      <c r="H36" s="5">
        <v>153671712</v>
      </c>
      <c r="I36" s="5">
        <v>153671712</v>
      </c>
      <c r="J36" s="5">
        <v>148714560</v>
      </c>
      <c r="K36" s="5">
        <v>153671712</v>
      </c>
      <c r="L36" s="5">
        <v>148714560</v>
      </c>
      <c r="M36" s="5">
        <v>153671712</v>
      </c>
      <c r="N36" s="8">
        <f>SUM(B36:M36)</f>
        <v>1814317632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="60" zoomScalePageLayoutView="0" workbookViewId="0" topLeftCell="A1">
      <pane xSplit="1" ySplit="3" topLeftCell="B16" activePane="bottomRight" state="frozen"/>
      <selection pane="topLeft" activeCell="U57" sqref="U57"/>
      <selection pane="topRight" activeCell="U57" sqref="U57"/>
      <selection pane="bottomLeft" activeCell="U57" sqref="U57"/>
      <selection pane="bottomRight" activeCell="B2" sqref="B1:B16384"/>
    </sheetView>
  </sheetViews>
  <sheetFormatPr defaultColWidth="9.140625" defaultRowHeight="12.75"/>
  <cols>
    <col min="1" max="1" width="39.7109375" style="3" customWidth="1"/>
    <col min="2" max="2" width="15.57421875" style="3" bestFit="1" customWidth="1"/>
    <col min="3" max="3" width="14.00390625" style="3" bestFit="1" customWidth="1"/>
    <col min="4" max="5" width="13.00390625" style="3" bestFit="1" customWidth="1"/>
    <col min="6" max="8" width="12.8515625" style="3" bestFit="1" customWidth="1"/>
    <col min="9" max="9" width="13.421875" style="3" customWidth="1"/>
    <col min="10" max="12" width="12.8515625" style="3" bestFit="1" customWidth="1"/>
    <col min="13" max="13" width="11.8515625" style="3" customWidth="1"/>
    <col min="14" max="15" width="12.8515625" style="3" bestFit="1" customWidth="1"/>
    <col min="16" max="16384" width="9.140625" style="3" customWidth="1"/>
  </cols>
  <sheetData>
    <row r="1" spans="1:15" s="315" customFormat="1" ht="12.75">
      <c r="A1" s="373" t="s">
        <v>192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2.75">
      <c r="A2" s="116"/>
      <c r="B2" s="130">
        <v>2011</v>
      </c>
      <c r="C2" s="130">
        <v>2011</v>
      </c>
      <c r="D2" s="130">
        <v>2011</v>
      </c>
      <c r="E2" s="130">
        <v>2011</v>
      </c>
      <c r="F2" s="130">
        <v>2011</v>
      </c>
      <c r="G2" s="130">
        <v>2011</v>
      </c>
      <c r="H2" s="130">
        <v>2011</v>
      </c>
      <c r="I2" s="130">
        <v>2011</v>
      </c>
      <c r="J2" s="130">
        <v>2011</v>
      </c>
      <c r="K2" s="130">
        <v>2011</v>
      </c>
      <c r="L2" s="130">
        <v>2011</v>
      </c>
      <c r="M2" s="130">
        <v>2011</v>
      </c>
      <c r="N2" s="130" t="s">
        <v>123</v>
      </c>
      <c r="O2" s="116"/>
    </row>
    <row r="3" spans="1:15" ht="12.75">
      <c r="A3" s="116"/>
      <c r="B3" s="130" t="s">
        <v>75</v>
      </c>
      <c r="C3" s="130" t="s">
        <v>76</v>
      </c>
      <c r="D3" s="130" t="s">
        <v>77</v>
      </c>
      <c r="E3" s="130" t="s">
        <v>78</v>
      </c>
      <c r="F3" s="130" t="s">
        <v>79</v>
      </c>
      <c r="G3" s="130" t="s">
        <v>80</v>
      </c>
      <c r="H3" s="130" t="s">
        <v>81</v>
      </c>
      <c r="I3" s="130" t="s">
        <v>82</v>
      </c>
      <c r="J3" s="130" t="s">
        <v>83</v>
      </c>
      <c r="K3" s="130" t="s">
        <v>84</v>
      </c>
      <c r="L3" s="130" t="s">
        <v>85</v>
      </c>
      <c r="M3" s="130" t="s">
        <v>86</v>
      </c>
      <c r="N3" s="130" t="s">
        <v>193</v>
      </c>
      <c r="O3" s="130" t="s">
        <v>194</v>
      </c>
    </row>
    <row r="4" spans="1:15" ht="12.75">
      <c r="A4" s="116" t="s">
        <v>195</v>
      </c>
      <c r="B4" s="5">
        <v>1172909.7875283593</v>
      </c>
      <c r="C4" s="5">
        <v>1056738.0299204246</v>
      </c>
      <c r="D4" s="5">
        <v>865466.3315517784</v>
      </c>
      <c r="E4" s="5">
        <v>759366.193573777</v>
      </c>
      <c r="F4" s="5">
        <v>637211.5142736117</v>
      </c>
      <c r="G4" s="5">
        <v>392473.0451347144</v>
      </c>
      <c r="H4" s="5">
        <v>464539.1768091665</v>
      </c>
      <c r="I4" s="5">
        <v>524411.0400156368</v>
      </c>
      <c r="J4" s="5">
        <v>510295.3462938749</v>
      </c>
      <c r="K4" s="5">
        <v>681918.3539659131</v>
      </c>
      <c r="L4" s="5">
        <v>911650.9584079401</v>
      </c>
      <c r="M4" s="5">
        <v>1042118.8414020368</v>
      </c>
      <c r="N4" s="5">
        <v>1172909.7875283593</v>
      </c>
      <c r="O4" s="5">
        <v>3271766.6588508207</v>
      </c>
    </row>
    <row r="5" spans="1:15" ht="12.75">
      <c r="A5" s="116" t="s">
        <v>196</v>
      </c>
      <c r="B5" s="5">
        <v>28106.823321533313</v>
      </c>
      <c r="C5" s="5">
        <v>27457.679511171587</v>
      </c>
      <c r="D5" s="5">
        <v>20066.850857958005</v>
      </c>
      <c r="E5" s="5">
        <v>17724.934129680587</v>
      </c>
      <c r="F5" s="5">
        <v>15420.933479285019</v>
      </c>
      <c r="G5" s="5">
        <v>12889.38685580307</v>
      </c>
      <c r="H5" s="5">
        <v>11533.592738526995</v>
      </c>
      <c r="I5" s="5">
        <v>10903.0484728674</v>
      </c>
      <c r="J5" s="5">
        <v>10885.572889653851</v>
      </c>
      <c r="K5" s="5">
        <v>13345.921275897854</v>
      </c>
      <c r="L5" s="5">
        <v>48339.64350849304</v>
      </c>
      <c r="M5" s="5">
        <v>34121.07141049608</v>
      </c>
      <c r="N5" s="5">
        <v>28106.823321533313</v>
      </c>
      <c r="O5" s="5">
        <v>89685.57424320099</v>
      </c>
    </row>
    <row r="6" spans="1:15" ht="12.75">
      <c r="A6" s="116" t="s">
        <v>11</v>
      </c>
      <c r="B6" s="5">
        <v>55490.598766466646</v>
      </c>
      <c r="C6" s="5">
        <v>58012.51115993371</v>
      </c>
      <c r="D6" s="5">
        <v>33128.589229682955</v>
      </c>
      <c r="E6" s="5">
        <v>31165.035145350434</v>
      </c>
      <c r="F6" s="5">
        <v>25206.23589948915</v>
      </c>
      <c r="G6" s="5">
        <v>35677.497702866094</v>
      </c>
      <c r="H6" s="5">
        <v>37655.81282093815</v>
      </c>
      <c r="I6" s="5">
        <v>26699.487814392298</v>
      </c>
      <c r="J6" s="5">
        <v>31944.78029966902</v>
      </c>
      <c r="K6" s="5">
        <v>29286.93959295549</v>
      </c>
      <c r="L6" s="5">
        <v>27502.11006755441</v>
      </c>
      <c r="M6" s="5">
        <v>47770.43459586857</v>
      </c>
      <c r="N6" s="5">
        <v>55490.598766466646</v>
      </c>
      <c r="O6" s="5">
        <v>161273.54452226893</v>
      </c>
    </row>
    <row r="7" spans="1:15" ht="12.75">
      <c r="A7" s="116" t="s">
        <v>12</v>
      </c>
      <c r="B7" s="5">
        <v>410840.2302294055</v>
      </c>
      <c r="C7" s="5">
        <v>449002.973494996</v>
      </c>
      <c r="D7" s="5">
        <v>449557.3608342694</v>
      </c>
      <c r="E7" s="5">
        <v>378880.26144709915</v>
      </c>
      <c r="F7" s="5">
        <v>333695.55132831715</v>
      </c>
      <c r="G7" s="5">
        <v>420233.83606508194</v>
      </c>
      <c r="H7" s="5">
        <v>437847.81976715784</v>
      </c>
      <c r="I7" s="5">
        <v>381022.3465293123</v>
      </c>
      <c r="J7" s="5">
        <v>319473.6499721148</v>
      </c>
      <c r="K7" s="5">
        <v>302334.1777656742</v>
      </c>
      <c r="L7" s="5">
        <v>292300.5409364807</v>
      </c>
      <c r="M7" s="5">
        <v>460222.50343895896</v>
      </c>
      <c r="N7" s="5">
        <v>410840.2302294055</v>
      </c>
      <c r="O7" s="5">
        <v>1320065.7071633604</v>
      </c>
    </row>
    <row r="8" spans="1:15" ht="12.75">
      <c r="A8" s="116" t="s">
        <v>13</v>
      </c>
      <c r="B8" s="5">
        <v>56399.458102588585</v>
      </c>
      <c r="C8" s="5">
        <v>56600.636031312504</v>
      </c>
      <c r="D8" s="5">
        <v>63124.285786006774</v>
      </c>
      <c r="E8" s="5">
        <v>57601.327638238596</v>
      </c>
      <c r="F8" s="5">
        <v>54108.55655092176</v>
      </c>
      <c r="G8" s="5">
        <v>65684.01443916862</v>
      </c>
      <c r="H8" s="5">
        <v>68270.80947761681</v>
      </c>
      <c r="I8" s="5">
        <v>63468.00863404011</v>
      </c>
      <c r="J8" s="5">
        <v>46643.91292262281</v>
      </c>
      <c r="K8" s="5">
        <v>49808.28533640702</v>
      </c>
      <c r="L8" s="5">
        <v>45781.03052743922</v>
      </c>
      <c r="M8" s="5">
        <v>55072.59594856864</v>
      </c>
      <c r="N8" s="5">
        <v>56399.458102588585</v>
      </c>
      <c r="O8" s="5">
        <v>168072.69008246972</v>
      </c>
    </row>
    <row r="9" spans="1:15" ht="12.75">
      <c r="A9" s="116" t="s">
        <v>14</v>
      </c>
      <c r="B9" s="5">
        <v>33581.651499557716</v>
      </c>
      <c r="C9" s="5">
        <v>35683.253057906426</v>
      </c>
      <c r="D9" s="5">
        <v>41060.74564251496</v>
      </c>
      <c r="E9" s="5">
        <v>43465.412207255045</v>
      </c>
      <c r="F9" s="5">
        <v>35885.12278837502</v>
      </c>
      <c r="G9" s="5">
        <v>41865.82638553381</v>
      </c>
      <c r="H9" s="5">
        <v>42872.38399164345</v>
      </c>
      <c r="I9" s="5">
        <v>35114.45260870068</v>
      </c>
      <c r="J9" s="5">
        <v>29982.73395946686</v>
      </c>
      <c r="K9" s="5">
        <v>26403.850352082587</v>
      </c>
      <c r="L9" s="5">
        <v>24852.24112645057</v>
      </c>
      <c r="M9" s="5">
        <v>32441.221860082976</v>
      </c>
      <c r="N9" s="5">
        <v>33581.651499557716</v>
      </c>
      <c r="O9" s="5">
        <v>101706.12641754713</v>
      </c>
    </row>
    <row r="10" spans="1:15" ht="12.75">
      <c r="A10" s="116" t="s">
        <v>15</v>
      </c>
      <c r="B10" s="5">
        <v>63497.52704277427</v>
      </c>
      <c r="C10" s="5">
        <v>61564.59328292112</v>
      </c>
      <c r="D10" s="5">
        <v>68938.79398091086</v>
      </c>
      <c r="E10" s="5">
        <v>69683.9857932724</v>
      </c>
      <c r="F10" s="5">
        <v>56123.567962546265</v>
      </c>
      <c r="G10" s="5">
        <v>66377.30380415438</v>
      </c>
      <c r="H10" s="5">
        <v>65788.27373593595</v>
      </c>
      <c r="I10" s="5">
        <v>61858.16982028788</v>
      </c>
      <c r="J10" s="5">
        <v>64382.01410401129</v>
      </c>
      <c r="K10" s="5">
        <v>61323.06262311024</v>
      </c>
      <c r="L10" s="5">
        <v>42213.53762338359</v>
      </c>
      <c r="M10" s="5">
        <v>61490.342830908296</v>
      </c>
      <c r="N10" s="5">
        <v>63497.52704277427</v>
      </c>
      <c r="O10" s="5">
        <v>186552.46315660368</v>
      </c>
    </row>
    <row r="11" spans="1:15" ht="12.75">
      <c r="A11" s="116" t="s">
        <v>197</v>
      </c>
      <c r="B11" s="5">
        <v>111820.46254232692</v>
      </c>
      <c r="C11" s="5">
        <v>114132.64408132977</v>
      </c>
      <c r="D11" s="5">
        <v>104364.54454096896</v>
      </c>
      <c r="E11" s="5">
        <v>114666.93486722274</v>
      </c>
      <c r="F11" s="5">
        <v>117460.87164706552</v>
      </c>
      <c r="G11" s="5">
        <v>123416.40494848149</v>
      </c>
      <c r="H11" s="5">
        <v>112515.93494602546</v>
      </c>
      <c r="I11" s="5">
        <v>117224.60902348171</v>
      </c>
      <c r="J11" s="5">
        <v>133946.40817164295</v>
      </c>
      <c r="K11" s="5">
        <v>120734.38050440351</v>
      </c>
      <c r="L11" s="5">
        <v>111030.0100091187</v>
      </c>
      <c r="M11" s="5">
        <v>113491.54316140027</v>
      </c>
      <c r="N11" s="5">
        <v>111820.46254232692</v>
      </c>
      <c r="O11" s="5">
        <v>339444.649785057</v>
      </c>
    </row>
    <row r="12" spans="1:15" ht="12.75">
      <c r="A12" s="116" t="s">
        <v>198</v>
      </c>
      <c r="B12" s="5">
        <v>29562.306010986278</v>
      </c>
      <c r="C12" s="5">
        <v>30383.69290999813</v>
      </c>
      <c r="D12" s="5">
        <v>29704.623190774466</v>
      </c>
      <c r="E12" s="5">
        <v>36191.848791511715</v>
      </c>
      <c r="F12" s="5">
        <v>24612.39166777107</v>
      </c>
      <c r="G12" s="5">
        <v>28789.74444847671</v>
      </c>
      <c r="H12" s="5">
        <v>29237.410298195482</v>
      </c>
      <c r="I12" s="5">
        <v>27154.906358361604</v>
      </c>
      <c r="J12" s="5">
        <v>31911.15006413039</v>
      </c>
      <c r="K12" s="5">
        <v>27757.45335465708</v>
      </c>
      <c r="L12" s="5">
        <v>28951.877717506115</v>
      </c>
      <c r="M12" s="5">
        <v>28919.028242286204</v>
      </c>
      <c r="N12" s="5">
        <v>29562.306010986278</v>
      </c>
      <c r="O12" s="5">
        <v>88865.02716327061</v>
      </c>
    </row>
    <row r="13" spans="1:15" ht="12.75">
      <c r="A13" s="116" t="s">
        <v>199</v>
      </c>
      <c r="B13" s="5">
        <v>82258.15653134065</v>
      </c>
      <c r="C13" s="5">
        <v>83748.95117133165</v>
      </c>
      <c r="D13" s="5">
        <v>74659.92135019448</v>
      </c>
      <c r="E13" s="5">
        <v>78475.08607571102</v>
      </c>
      <c r="F13" s="5">
        <v>92848.47997929444</v>
      </c>
      <c r="G13" s="5">
        <v>94626.66050000477</v>
      </c>
      <c r="H13" s="5">
        <v>83278.52464782997</v>
      </c>
      <c r="I13" s="5">
        <v>90069.7026651201</v>
      </c>
      <c r="J13" s="5">
        <v>102035.25810751258</v>
      </c>
      <c r="K13" s="5">
        <v>92976.92714974645</v>
      </c>
      <c r="L13" s="5">
        <v>82078.13229161261</v>
      </c>
      <c r="M13" s="5">
        <v>84572.51491911407</v>
      </c>
      <c r="N13" s="5">
        <v>82258.15653134065</v>
      </c>
      <c r="O13" s="5">
        <v>250579.62262178634</v>
      </c>
    </row>
    <row r="14" spans="1:15" ht="12.75">
      <c r="A14" s="116" t="s">
        <v>200</v>
      </c>
      <c r="B14" s="5">
        <v>-72.44819667716283</v>
      </c>
      <c r="C14" s="5">
        <v>-345.69515407249867</v>
      </c>
      <c r="D14" s="5">
        <v>-697.9578959318263</v>
      </c>
      <c r="E14" s="5">
        <v>-655.9088280705291</v>
      </c>
      <c r="F14" s="5">
        <v>2277.538283573512</v>
      </c>
      <c r="G14" s="5">
        <v>-622.4309572305353</v>
      </c>
      <c r="H14" s="5">
        <v>4740.7668781875345</v>
      </c>
      <c r="I14" s="5">
        <v>-170.40868875695102</v>
      </c>
      <c r="J14" s="5">
        <v>5066.278377326605</v>
      </c>
      <c r="K14" s="5">
        <v>-159.18429377507272</v>
      </c>
      <c r="L14" s="5">
        <v>8595.527377563738</v>
      </c>
      <c r="M14" s="5">
        <v>1994.0529046224335</v>
      </c>
      <c r="N14" s="5">
        <v>-72.44819667716283</v>
      </c>
      <c r="O14" s="5">
        <v>1575.909553872772</v>
      </c>
    </row>
    <row r="15" spans="1:15" ht="12.75">
      <c r="A15" s="116" t="s">
        <v>201</v>
      </c>
      <c r="B15" s="5">
        <v>28571.2</v>
      </c>
      <c r="C15" s="5">
        <v>28571.2</v>
      </c>
      <c r="D15" s="5">
        <v>28571.2</v>
      </c>
      <c r="E15" s="5">
        <v>28571.2</v>
      </c>
      <c r="F15" s="5">
        <v>28571.2</v>
      </c>
      <c r="G15" s="5">
        <v>28571.2</v>
      </c>
      <c r="H15" s="5">
        <v>28571.2</v>
      </c>
      <c r="I15" s="5">
        <v>28571.2</v>
      </c>
      <c r="J15" s="5">
        <v>28571.2</v>
      </c>
      <c r="K15" s="5">
        <v>28571.2</v>
      </c>
      <c r="L15" s="5">
        <v>28571.2</v>
      </c>
      <c r="M15" s="5">
        <v>28571.2</v>
      </c>
      <c r="N15" s="5">
        <v>28571.2</v>
      </c>
      <c r="O15" s="5">
        <v>85713.6</v>
      </c>
    </row>
    <row r="16" spans="1:15" ht="12.75">
      <c r="A16" s="116" t="s">
        <v>202</v>
      </c>
      <c r="B16" s="5">
        <v>14285.6</v>
      </c>
      <c r="C16" s="5">
        <v>14285.6</v>
      </c>
      <c r="D16" s="5">
        <v>14285.6</v>
      </c>
      <c r="E16" s="5">
        <v>14285.6</v>
      </c>
      <c r="F16" s="5">
        <v>14285.6</v>
      </c>
      <c r="G16" s="5">
        <v>14285.6</v>
      </c>
      <c r="H16" s="5">
        <v>14285.6</v>
      </c>
      <c r="I16" s="5">
        <v>14285.6</v>
      </c>
      <c r="J16" s="5">
        <v>14285.6</v>
      </c>
      <c r="K16" s="5">
        <v>14285.6</v>
      </c>
      <c r="L16" s="5">
        <v>14285.6</v>
      </c>
      <c r="M16" s="5">
        <v>14285.6</v>
      </c>
      <c r="N16" s="5">
        <v>14285.6</v>
      </c>
      <c r="O16" s="5">
        <v>42856.8</v>
      </c>
    </row>
    <row r="17" spans="1:15" ht="12.75">
      <c r="A17" s="116" t="s">
        <v>203</v>
      </c>
      <c r="B17" s="5">
        <v>226781.85919999998</v>
      </c>
      <c r="C17" s="5">
        <v>226781.85919999998</v>
      </c>
      <c r="D17" s="5">
        <v>226781.85919999998</v>
      </c>
      <c r="E17" s="5">
        <v>226781.85919999998</v>
      </c>
      <c r="F17" s="5">
        <v>226781.85919999998</v>
      </c>
      <c r="G17" s="5">
        <v>226781.85919999998</v>
      </c>
      <c r="H17" s="5">
        <v>226781.85919999998</v>
      </c>
      <c r="I17" s="5">
        <v>226781.85919999998</v>
      </c>
      <c r="J17" s="5">
        <v>226781.85919999998</v>
      </c>
      <c r="K17" s="5">
        <v>226781.85919999998</v>
      </c>
      <c r="L17" s="5">
        <v>226781.85919999998</v>
      </c>
      <c r="M17" s="5">
        <v>226781.85919999998</v>
      </c>
      <c r="N17" s="5">
        <v>226781.85919999998</v>
      </c>
      <c r="O17" s="5">
        <v>680345.5776</v>
      </c>
    </row>
    <row r="18" spans="1:15" ht="12.75">
      <c r="A18" s="116" t="s">
        <v>17</v>
      </c>
      <c r="B18" s="5">
        <v>43543.68649807168</v>
      </c>
      <c r="C18" s="5">
        <v>42148.21377498682</v>
      </c>
      <c r="D18" s="5">
        <v>38318.83395377417</v>
      </c>
      <c r="E18" s="5">
        <v>32833.173593160296</v>
      </c>
      <c r="F18" s="5">
        <v>26961.066267964256</v>
      </c>
      <c r="G18" s="5">
        <v>26013.75986852682</v>
      </c>
      <c r="H18" s="5">
        <v>26490.942768287674</v>
      </c>
      <c r="I18" s="5">
        <v>24581.511354207098</v>
      </c>
      <c r="J18" s="5">
        <v>24098.754746832492</v>
      </c>
      <c r="K18" s="5">
        <v>30353.99741480388</v>
      </c>
      <c r="L18" s="5">
        <v>32576.299086432613</v>
      </c>
      <c r="M18" s="5">
        <v>42184.14084682005</v>
      </c>
      <c r="N18" s="5">
        <v>43543.68649807168</v>
      </c>
      <c r="O18" s="5">
        <v>127876.04111987856</v>
      </c>
    </row>
    <row r="19" spans="1:15" ht="12.75">
      <c r="A19" s="116" t="s">
        <v>154</v>
      </c>
      <c r="B19" s="5">
        <v>30257.283066669024</v>
      </c>
      <c r="C19" s="5">
        <v>11662.175277151608</v>
      </c>
      <c r="D19" s="5">
        <v>2775.0310015160753</v>
      </c>
      <c r="E19" s="5">
        <v>2733.9071353579084</v>
      </c>
      <c r="F19" s="5">
        <v>3344.166725205805</v>
      </c>
      <c r="G19" s="5">
        <v>3511.376685588749</v>
      </c>
      <c r="H19" s="5">
        <v>3336.429303640627</v>
      </c>
      <c r="I19" s="5">
        <v>3051.650146108192</v>
      </c>
      <c r="J19" s="5">
        <v>18811.94176108406</v>
      </c>
      <c r="K19" s="5">
        <v>13931.964056406363</v>
      </c>
      <c r="L19" s="5">
        <v>19709.03998913223</v>
      </c>
      <c r="M19" s="5">
        <v>30667.01779104612</v>
      </c>
      <c r="N19" s="5">
        <v>30257.283066669024</v>
      </c>
      <c r="O19" s="5">
        <v>72586.47613486675</v>
      </c>
    </row>
    <row r="20" spans="1:15" ht="12.75">
      <c r="A20" s="302" t="s">
        <v>204</v>
      </c>
      <c r="B20" s="5">
        <v>2276013.7196010756</v>
      </c>
      <c r="C20" s="5">
        <v>2182295.6736380616</v>
      </c>
      <c r="D20" s="5">
        <v>1955742.0686834487</v>
      </c>
      <c r="E20" s="5">
        <v>1777103.9159023436</v>
      </c>
      <c r="F20" s="5">
        <v>1577333.784406355</v>
      </c>
      <c r="G20" s="5">
        <v>1457158.6801326885</v>
      </c>
      <c r="H20" s="5">
        <v>1545230.602437127</v>
      </c>
      <c r="I20" s="5">
        <v>1517802.5749302774</v>
      </c>
      <c r="J20" s="5">
        <v>1465170.0526982995</v>
      </c>
      <c r="K20" s="5">
        <v>1598920.407793879</v>
      </c>
      <c r="L20" s="5">
        <v>1834189.5978599892</v>
      </c>
      <c r="M20" s="5">
        <v>2191212.42539081</v>
      </c>
      <c r="N20" s="5">
        <v>2276013.7196010756</v>
      </c>
      <c r="O20" s="5">
        <v>6649521.818629947</v>
      </c>
    </row>
    <row r="21" spans="1:15" ht="12.75">
      <c r="A21" s="30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303" t="s">
        <v>236</v>
      </c>
      <c r="B22" s="304">
        <f>'Monthly Energy Allocators'!N109/(SUM(N4:N11,N17:N19)*8760)</f>
        <v>0.5910493730591533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4" spans="1:7" ht="12.75">
      <c r="A24" s="305" t="s">
        <v>205</v>
      </c>
      <c r="B24" s="130" t="s">
        <v>225</v>
      </c>
      <c r="C24" s="130" t="s">
        <v>214</v>
      </c>
      <c r="D24" s="130" t="s">
        <v>215</v>
      </c>
      <c r="E24" s="111"/>
      <c r="F24" s="111"/>
      <c r="G24" s="111"/>
    </row>
    <row r="25" spans="1:7" ht="12.75">
      <c r="A25" s="116" t="s">
        <v>206</v>
      </c>
      <c r="B25" s="306">
        <f aca="true" t="shared" si="0" ref="B25:B41">ROUND((C25+D25)/2,0)</f>
        <v>977802</v>
      </c>
      <c r="C25" s="306">
        <f>1177653-C27</f>
        <v>973312</v>
      </c>
      <c r="D25" s="306">
        <f>1178131-D27</f>
        <v>982291</v>
      </c>
      <c r="E25" s="111"/>
      <c r="F25" s="111"/>
      <c r="G25" s="111"/>
    </row>
    <row r="26" spans="1:7" ht="12.75">
      <c r="A26" s="116" t="s">
        <v>217</v>
      </c>
      <c r="B26" s="306">
        <f t="shared" si="0"/>
        <v>58376</v>
      </c>
      <c r="C26" s="306">
        <f>57647-C28</f>
        <v>42937</v>
      </c>
      <c r="D26" s="306">
        <f>74664-D28</f>
        <v>73815</v>
      </c>
      <c r="E26" s="114"/>
      <c r="F26" s="114"/>
      <c r="G26" s="114"/>
    </row>
    <row r="27" spans="1:7" ht="12.75">
      <c r="A27" s="116" t="s">
        <v>218</v>
      </c>
      <c r="B27" s="306">
        <f t="shared" si="0"/>
        <v>200091</v>
      </c>
      <c r="C27" s="306">
        <v>204341</v>
      </c>
      <c r="D27" s="306">
        <v>195840</v>
      </c>
      <c r="E27" s="114"/>
      <c r="F27" s="114"/>
      <c r="G27" s="114"/>
    </row>
    <row r="28" spans="1:7" ht="12.75">
      <c r="A28" s="116" t="s">
        <v>216</v>
      </c>
      <c r="B28" s="306">
        <f t="shared" si="0"/>
        <v>7780</v>
      </c>
      <c r="C28" s="306">
        <v>14710</v>
      </c>
      <c r="D28" s="306">
        <v>849</v>
      </c>
      <c r="E28" s="114"/>
      <c r="F28" s="114"/>
      <c r="G28" s="114"/>
    </row>
    <row r="29" spans="1:7" ht="12.75">
      <c r="A29" s="116" t="s">
        <v>207</v>
      </c>
      <c r="B29" s="306">
        <f t="shared" si="0"/>
        <v>280008</v>
      </c>
      <c r="C29" s="306">
        <f>412113-C31</f>
        <v>268285</v>
      </c>
      <c r="D29" s="306">
        <f>537896-D31</f>
        <v>291731</v>
      </c>
      <c r="E29" s="114"/>
      <c r="F29" s="114"/>
      <c r="G29" s="114"/>
    </row>
    <row r="30" spans="1:7" ht="12.75">
      <c r="A30" s="116" t="s">
        <v>219</v>
      </c>
      <c r="B30" s="306">
        <f t="shared" si="0"/>
        <v>17351</v>
      </c>
      <c r="C30" s="306">
        <v>16375</v>
      </c>
      <c r="D30" s="306">
        <v>18327</v>
      </c>
      <c r="E30" s="114"/>
      <c r="F30" s="114"/>
      <c r="G30" s="114"/>
    </row>
    <row r="31" spans="1:7" ht="12.75">
      <c r="A31" s="116" t="s">
        <v>208</v>
      </c>
      <c r="B31" s="306">
        <f t="shared" si="0"/>
        <v>194997</v>
      </c>
      <c r="C31" s="306">
        <v>143828</v>
      </c>
      <c r="D31" s="306">
        <v>246165</v>
      </c>
      <c r="E31" s="114"/>
      <c r="F31" s="114"/>
      <c r="G31" s="114"/>
    </row>
    <row r="32" spans="1:7" ht="12.75">
      <c r="A32" s="116" t="s">
        <v>220</v>
      </c>
      <c r="B32" s="306">
        <f t="shared" si="0"/>
        <v>11377</v>
      </c>
      <c r="C32" s="306">
        <v>21377</v>
      </c>
      <c r="D32" s="306">
        <v>1377</v>
      </c>
      <c r="E32" s="114"/>
      <c r="F32" s="114"/>
      <c r="G32" s="114"/>
    </row>
    <row r="33" spans="1:7" ht="12.75">
      <c r="A33" s="116" t="s">
        <v>221</v>
      </c>
      <c r="B33" s="306">
        <f t="shared" si="0"/>
        <v>9541</v>
      </c>
      <c r="C33" s="306">
        <v>8264</v>
      </c>
      <c r="D33" s="306">
        <v>10817</v>
      </c>
      <c r="E33" s="114"/>
      <c r="F33" s="114"/>
      <c r="G33" s="114"/>
    </row>
    <row r="34" spans="1:7" ht="12.75">
      <c r="A34" s="116" t="s">
        <v>222</v>
      </c>
      <c r="B34" s="306">
        <f t="shared" si="0"/>
        <v>1658</v>
      </c>
      <c r="C34" s="306">
        <f>4485-2840</f>
        <v>1645</v>
      </c>
      <c r="D34" s="306">
        <f>4510-2840</f>
        <v>1670</v>
      </c>
      <c r="E34" s="114"/>
      <c r="F34" s="114"/>
      <c r="G34" s="114"/>
    </row>
    <row r="35" spans="1:7" ht="12.75">
      <c r="A35" s="116" t="s">
        <v>209</v>
      </c>
      <c r="B35" s="306">
        <f t="shared" si="0"/>
        <v>56292</v>
      </c>
      <c r="C35" s="306">
        <v>57542</v>
      </c>
      <c r="D35" s="306">
        <v>55042</v>
      </c>
      <c r="E35" s="111"/>
      <c r="F35" s="111"/>
      <c r="G35" s="111"/>
    </row>
    <row r="36" spans="1:7" ht="15">
      <c r="A36" s="116" t="s">
        <v>223</v>
      </c>
      <c r="B36" s="306">
        <f t="shared" si="0"/>
        <v>3305</v>
      </c>
      <c r="C36" s="306">
        <v>3305</v>
      </c>
      <c r="D36" s="306">
        <v>3305</v>
      </c>
      <c r="E36" s="114"/>
      <c r="F36" s="112"/>
      <c r="G36" s="112"/>
    </row>
    <row r="37" spans="1:7" ht="15">
      <c r="A37" s="116" t="s">
        <v>212</v>
      </c>
      <c r="B37" s="306">
        <f t="shared" si="0"/>
        <v>214262</v>
      </c>
      <c r="C37" s="306">
        <v>173526</v>
      </c>
      <c r="D37" s="306">
        <v>254998</v>
      </c>
      <c r="E37" s="110"/>
      <c r="F37" s="113"/>
      <c r="G37" s="115"/>
    </row>
    <row r="38" spans="1:7" ht="12.75">
      <c r="A38" s="116" t="s">
        <v>224</v>
      </c>
      <c r="B38" s="306">
        <f t="shared" si="0"/>
        <v>21523</v>
      </c>
      <c r="C38" s="306">
        <v>56913</v>
      </c>
      <c r="D38" s="306">
        <v>-13868</v>
      </c>
      <c r="E38" s="111"/>
      <c r="F38" s="111"/>
      <c r="G38" s="111"/>
    </row>
    <row r="39" spans="1:7" ht="12.75">
      <c r="A39" s="116" t="s">
        <v>233</v>
      </c>
      <c r="B39" s="306">
        <f t="shared" si="0"/>
        <v>326619</v>
      </c>
      <c r="C39" s="306">
        <v>295259</v>
      </c>
      <c r="D39" s="306">
        <v>357978</v>
      </c>
      <c r="E39" s="111"/>
      <c r="F39" s="111"/>
      <c r="G39" s="111"/>
    </row>
    <row r="40" spans="1:7" ht="12.75">
      <c r="A40" s="116" t="s">
        <v>232</v>
      </c>
      <c r="B40" s="306">
        <f t="shared" si="0"/>
        <v>22267</v>
      </c>
      <c r="C40" s="306">
        <v>32887</v>
      </c>
      <c r="D40" s="306">
        <v>11647</v>
      </c>
      <c r="E40" s="111"/>
      <c r="F40" s="111"/>
      <c r="G40" s="111"/>
    </row>
    <row r="41" spans="1:7" ht="12.75">
      <c r="A41" s="116" t="s">
        <v>234</v>
      </c>
      <c r="B41" s="306">
        <f t="shared" si="0"/>
        <v>569874</v>
      </c>
      <c r="C41" s="306">
        <v>565802</v>
      </c>
      <c r="D41" s="306">
        <v>573946.519</v>
      </c>
      <c r="E41" s="111"/>
      <c r="F41" s="111"/>
      <c r="G41" s="111"/>
    </row>
    <row r="42" spans="1:7" ht="12.75">
      <c r="A42" s="116"/>
      <c r="B42" s="306"/>
      <c r="C42" s="306"/>
      <c r="D42" s="306"/>
      <c r="E42" s="111"/>
      <c r="F42" s="111"/>
      <c r="G42" s="111"/>
    </row>
    <row r="43" spans="1:7" ht="12.75">
      <c r="A43" s="116" t="s">
        <v>226</v>
      </c>
      <c r="B43" s="306">
        <f>ROUND((C43+D43)/2,0)</f>
        <v>17895</v>
      </c>
      <c r="C43" s="306">
        <v>17220</v>
      </c>
      <c r="D43" s="306">
        <v>18570</v>
      </c>
      <c r="E43" s="109"/>
      <c r="F43" s="109"/>
      <c r="G43" s="109"/>
    </row>
    <row r="44" spans="1:5" ht="12.75">
      <c r="A44" s="116"/>
      <c r="C44" s="116"/>
      <c r="D44" s="116"/>
      <c r="E44" s="116"/>
    </row>
    <row r="45" spans="1:11" ht="12.75">
      <c r="A45" s="2" t="s">
        <v>238</v>
      </c>
      <c r="C45" s="372" t="s">
        <v>227</v>
      </c>
      <c r="D45" s="372"/>
      <c r="E45" s="372"/>
      <c r="F45" s="372" t="s">
        <v>235</v>
      </c>
      <c r="G45" s="372"/>
      <c r="H45" s="372"/>
      <c r="I45" s="372" t="s">
        <v>237</v>
      </c>
      <c r="J45" s="372"/>
      <c r="K45" s="372"/>
    </row>
    <row r="46" spans="1:11" ht="12.75">
      <c r="A46" s="116"/>
      <c r="B46" s="176" t="s">
        <v>228</v>
      </c>
      <c r="C46" s="176" t="s">
        <v>229</v>
      </c>
      <c r="D46" s="176" t="s">
        <v>230</v>
      </c>
      <c r="E46" s="176" t="s">
        <v>231</v>
      </c>
      <c r="F46" s="176" t="s">
        <v>229</v>
      </c>
      <c r="G46" s="176" t="s">
        <v>230</v>
      </c>
      <c r="H46" s="176" t="s">
        <v>231</v>
      </c>
      <c r="I46" s="176" t="s">
        <v>229</v>
      </c>
      <c r="J46" s="176" t="s">
        <v>230</v>
      </c>
      <c r="K46" s="176" t="s">
        <v>231</v>
      </c>
    </row>
    <row r="47" spans="1:11" ht="12.75">
      <c r="A47" s="116" t="s">
        <v>206</v>
      </c>
      <c r="B47" s="307">
        <f>SUM(B25:B28)</f>
        <v>1244049</v>
      </c>
      <c r="C47" s="307">
        <f>B47-D47</f>
        <v>1036178</v>
      </c>
      <c r="D47" s="307">
        <f>+B27+B28</f>
        <v>207871</v>
      </c>
      <c r="E47" s="307">
        <v>0</v>
      </c>
      <c r="F47" s="307">
        <f>+C47*-$B$22</f>
        <v>-612432.3572776873</v>
      </c>
      <c r="G47" s="307">
        <f>-F47</f>
        <v>612432.3572776873</v>
      </c>
      <c r="H47" s="307">
        <v>0</v>
      </c>
      <c r="I47" s="307">
        <f aca="true" t="shared" si="1" ref="I47:J51">+C47+F47</f>
        <v>423745.6427223127</v>
      </c>
      <c r="J47" s="307">
        <f t="shared" si="1"/>
        <v>820303.3572776873</v>
      </c>
      <c r="K47" s="307">
        <v>0</v>
      </c>
    </row>
    <row r="48" spans="1:11" ht="12.75">
      <c r="A48" s="116" t="s">
        <v>207</v>
      </c>
      <c r="B48" s="307">
        <f>B29+B30-B43</f>
        <v>279464</v>
      </c>
      <c r="C48" s="307">
        <f>+B48</f>
        <v>279464</v>
      </c>
      <c r="D48" s="307">
        <v>0</v>
      </c>
      <c r="E48" s="307">
        <v>0</v>
      </c>
      <c r="F48" s="307">
        <f>+C48*-$B$22</f>
        <v>-165177.0219926032</v>
      </c>
      <c r="G48" s="307">
        <f>-F48</f>
        <v>165177.0219926032</v>
      </c>
      <c r="H48" s="307">
        <v>0</v>
      </c>
      <c r="I48" s="307">
        <f t="shared" si="1"/>
        <v>114286.9780073968</v>
      </c>
      <c r="J48" s="307">
        <f t="shared" si="1"/>
        <v>165177.0219926032</v>
      </c>
      <c r="K48" s="307">
        <v>0</v>
      </c>
    </row>
    <row r="49" spans="1:11" ht="12.75">
      <c r="A49" s="116" t="s">
        <v>208</v>
      </c>
      <c r="B49" s="307">
        <f>+B31+B32</f>
        <v>206374</v>
      </c>
      <c r="C49" s="307">
        <f>+B49</f>
        <v>206374</v>
      </c>
      <c r="D49" s="307">
        <v>0</v>
      </c>
      <c r="E49" s="307">
        <v>0</v>
      </c>
      <c r="F49" s="307">
        <v>-144461.8</v>
      </c>
      <c r="G49" s="307">
        <f>-F49</f>
        <v>144461.8</v>
      </c>
      <c r="H49" s="307">
        <v>0</v>
      </c>
      <c r="I49" s="307">
        <f t="shared" si="1"/>
        <v>61912.20000000001</v>
      </c>
      <c r="J49" s="307">
        <f t="shared" si="1"/>
        <v>144461.8</v>
      </c>
      <c r="K49" s="307">
        <v>0</v>
      </c>
    </row>
    <row r="50" spans="1:11" ht="12.75">
      <c r="A50" s="116" t="s">
        <v>209</v>
      </c>
      <c r="B50" s="307">
        <f>+B35+B36</f>
        <v>59597</v>
      </c>
      <c r="C50" s="307">
        <f>+B50</f>
        <v>59597</v>
      </c>
      <c r="D50" s="307">
        <v>0</v>
      </c>
      <c r="E50" s="307">
        <v>0</v>
      </c>
      <c r="F50" s="307">
        <f>+C50*-$B$22</f>
        <v>-35224.76948620636</v>
      </c>
      <c r="G50" s="307">
        <f>-F50</f>
        <v>35224.76948620636</v>
      </c>
      <c r="H50" s="307">
        <v>0</v>
      </c>
      <c r="I50" s="307">
        <f t="shared" si="1"/>
        <v>24372.230513793642</v>
      </c>
      <c r="J50" s="307">
        <f t="shared" si="1"/>
        <v>35224.76948620636</v>
      </c>
      <c r="K50" s="307">
        <v>0</v>
      </c>
    </row>
    <row r="51" spans="1:11" ht="12.75">
      <c r="A51" s="116" t="s">
        <v>210</v>
      </c>
      <c r="B51" s="307">
        <f>+B33+B34</f>
        <v>11199</v>
      </c>
      <c r="C51" s="307">
        <f>+B51</f>
        <v>11199</v>
      </c>
      <c r="D51" s="307">
        <v>0</v>
      </c>
      <c r="E51" s="307">
        <v>0</v>
      </c>
      <c r="F51" s="307">
        <v>0</v>
      </c>
      <c r="G51" s="307">
        <f>-F51</f>
        <v>0</v>
      </c>
      <c r="H51" s="307">
        <v>0</v>
      </c>
      <c r="I51" s="307">
        <f t="shared" si="1"/>
        <v>11199</v>
      </c>
      <c r="J51" s="307">
        <f t="shared" si="1"/>
        <v>0</v>
      </c>
      <c r="K51" s="307">
        <v>0</v>
      </c>
    </row>
    <row r="52" spans="1:11" ht="12.75">
      <c r="A52" s="116" t="s">
        <v>211</v>
      </c>
      <c r="B52" s="307">
        <f aca="true" t="shared" si="2" ref="B52:K52">SUM(B47:B51)</f>
        <v>1800683</v>
      </c>
      <c r="C52" s="307">
        <f t="shared" si="2"/>
        <v>1592812</v>
      </c>
      <c r="D52" s="307">
        <f t="shared" si="2"/>
        <v>207871</v>
      </c>
      <c r="E52" s="307">
        <f t="shared" si="2"/>
        <v>0</v>
      </c>
      <c r="F52" s="307">
        <f t="shared" si="2"/>
        <v>-957295.9487564969</v>
      </c>
      <c r="G52" s="307">
        <f t="shared" si="2"/>
        <v>957295.9487564969</v>
      </c>
      <c r="H52" s="307">
        <f t="shared" si="2"/>
        <v>0</v>
      </c>
      <c r="I52" s="307">
        <f t="shared" si="2"/>
        <v>635516.0512435031</v>
      </c>
      <c r="J52" s="307">
        <f t="shared" si="2"/>
        <v>1165166.948756497</v>
      </c>
      <c r="K52" s="307">
        <f t="shared" si="2"/>
        <v>0</v>
      </c>
    </row>
    <row r="53" spans="1:11" ht="12.75">
      <c r="A53" s="116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spans="1:11" ht="12.75">
      <c r="A54" s="116" t="s">
        <v>212</v>
      </c>
      <c r="B54" s="307">
        <f>B52/(SUM(B25:B36,B39:B41)-B43)*(B37+B38)</f>
        <v>156125.36874462897</v>
      </c>
      <c r="C54" s="307">
        <f>(SUM(C47:C51)/SUM(B47:B51))*B54</f>
        <v>138102.24278280517</v>
      </c>
      <c r="D54" s="307">
        <f>(SUM(D47:D51)/SUM(B47:B51))*B54</f>
        <v>18023.125961823804</v>
      </c>
      <c r="E54" s="307">
        <f>SUM(E47:E52)</f>
        <v>0</v>
      </c>
      <c r="F54" s="308">
        <f>(SUM(F47:F51)/SUM(C47:C51))*C54</f>
        <v>-83000.82968370753</v>
      </c>
      <c r="G54" s="307">
        <f>-F54</f>
        <v>83000.82968370753</v>
      </c>
      <c r="H54" s="307">
        <f>SUM(H47:H52)</f>
        <v>0</v>
      </c>
      <c r="I54" s="307">
        <f>+C54+F54</f>
        <v>55101.41309909764</v>
      </c>
      <c r="J54" s="307">
        <f>+D54+G54</f>
        <v>101023.95564553133</v>
      </c>
      <c r="K54" s="307">
        <f>SUM(K47:K52)</f>
        <v>0</v>
      </c>
    </row>
    <row r="55" spans="1:11" ht="12.75">
      <c r="A55" s="116" t="s">
        <v>213</v>
      </c>
      <c r="B55" s="307">
        <f>SUM(B52:B54)</f>
        <v>1956808.368744629</v>
      </c>
      <c r="C55" s="307">
        <f>SUM(C52:C54)</f>
        <v>1730914.242782805</v>
      </c>
      <c r="D55" s="307">
        <f>SUM(D52:D54)</f>
        <v>225894.1259618238</v>
      </c>
      <c r="E55" s="307">
        <f>SUM(E48:E53)</f>
        <v>0</v>
      </c>
      <c r="F55" s="307">
        <f>SUM(F52:F54)</f>
        <v>-1040296.7784402044</v>
      </c>
      <c r="G55" s="307">
        <f>SUM(G52:G54)</f>
        <v>1040296.7784402044</v>
      </c>
      <c r="H55" s="307">
        <f>SUM(H48:H53)</f>
        <v>0</v>
      </c>
      <c r="I55" s="307">
        <f>SUM(I52:I54)</f>
        <v>690617.4643426008</v>
      </c>
      <c r="J55" s="307">
        <f>SUM(J52:J54)</f>
        <v>1266190.9044020283</v>
      </c>
      <c r="K55" s="307">
        <f>SUM(K48:K53)</f>
        <v>0</v>
      </c>
    </row>
    <row r="56" spans="9:10" ht="12.75">
      <c r="I56" s="309">
        <f>I55/$B$55</f>
        <v>0.3529305553745457</v>
      </c>
      <c r="J56" s="309">
        <f>J55/$B$55</f>
        <v>0.6470694446254543</v>
      </c>
    </row>
  </sheetData>
  <sheetProtection/>
  <mergeCells count="4">
    <mergeCell ref="C45:E45"/>
    <mergeCell ref="F45:H45"/>
    <mergeCell ref="I45:K45"/>
    <mergeCell ref="A1:O1"/>
  </mergeCells>
  <printOptions/>
  <pageMargins left="0.7" right="0.7" top="0.75" bottom="0.75" header="0.3" footer="0.3"/>
  <pageSetup fitToHeight="0" fitToWidth="1" horizontalDpi="600" verticalDpi="600" orientation="landscape" paperSize="17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part 1.xls</dc:title>
  <dc:subject/>
  <dc:creator>Steve Seelye</dc:creator>
  <cp:keywords/>
  <dc:description/>
  <cp:lastModifiedBy>CYR, JENNIFER</cp:lastModifiedBy>
  <cp:lastPrinted>2012-06-24T18:53:48Z</cp:lastPrinted>
  <dcterms:created xsi:type="dcterms:W3CDTF">2007-02-25T12:41:29Z</dcterms:created>
  <dcterms:modified xsi:type="dcterms:W3CDTF">2012-06-24T19:09:53Z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Select...</vt:lpwstr>
  </property>
  <property fmtid="{D5CDD505-2E9C-101B-9397-08002B2CF9AE}" pid="3" name="Ownership">
    <vt:lpwstr>1) Writer</vt:lpwstr>
  </property>
  <property fmtid="{D5CDD505-2E9C-101B-9397-08002B2CF9AE}" pid="4" name="File Electronically?">
    <vt:lpwstr>0</vt:lpwstr>
  </property>
  <property fmtid="{D5CDD505-2E9C-101B-9397-08002B2CF9AE}" pid="5" name="Doc for Reviewer?">
    <vt:lpwstr>0</vt:lpwstr>
  </property>
  <property fmtid="{D5CDD505-2E9C-101B-9397-08002B2CF9AE}" pid="6" name="Live Edit?">
    <vt:lpwstr>Select...</vt:lpwstr>
  </property>
  <property fmtid="{D5CDD505-2E9C-101B-9397-08002B2CF9AE}" pid="7" name="ContentTypeId">
    <vt:lpwstr>0x01010057B90F1B5607C74BB9C830BB25E50669</vt:lpwstr>
  </property>
  <property fmtid="{D5CDD505-2E9C-101B-9397-08002B2CF9AE}" pid="8" name="ContentType">
    <vt:lpwstr>Document</vt:lpwstr>
  </property>
  <property fmtid="{D5CDD505-2E9C-101B-9397-08002B2CF9AE}" pid="9" name="Content Contributors">
    <vt:lpwstr/>
  </property>
  <property fmtid="{D5CDD505-2E9C-101B-9397-08002B2CF9AE}" pid="10" name="Exhibit Number">
    <vt:lpwstr/>
  </property>
  <property fmtid="{D5CDD505-2E9C-101B-9397-08002B2CF9AE}" pid="11" name="Filing Date">
    <vt:lpwstr/>
  </property>
  <property fmtid="{D5CDD505-2E9C-101B-9397-08002B2CF9AE}" pid="12" name="Witness">
    <vt:lpwstr/>
  </property>
  <property fmtid="{D5CDD505-2E9C-101B-9397-08002B2CF9AE}" pid="13" name="Create Date">
    <vt:lpwstr/>
  </property>
  <property fmtid="{D5CDD505-2E9C-101B-9397-08002B2CF9AE}" pid="14" name="Description Field">
    <vt:lpwstr/>
  </property>
  <property fmtid="{D5CDD505-2E9C-101B-9397-08002B2CF9AE}" pid="15" name="Document Type">
    <vt:lpwstr>Application</vt:lpwstr>
  </property>
  <property fmtid="{D5CDD505-2E9C-101B-9397-08002B2CF9AE}" pid="16" name="Source of Information">
    <vt:lpwstr/>
  </property>
  <property fmtid="{D5CDD505-2E9C-101B-9397-08002B2CF9AE}" pid="17" name="IR_Responder">
    <vt:lpwstr>15</vt:lpwstr>
  </property>
  <property fmtid="{D5CDD505-2E9C-101B-9397-08002B2CF9AE}" pid="18" name="WorkflowCreationPath">
    <vt:lpwstr>ccae7124-5fa8-4cd4-971b-8551cd07147b,2;ccae7124-5fa8-4cd4-971b-8551cd07147b,2;</vt:lpwstr>
  </property>
  <property fmtid="{D5CDD505-2E9C-101B-9397-08002B2CF9AE}" pid="19" name="IR_Status">
    <vt:lpwstr>20</vt:lpwstr>
  </property>
  <property fmtid="{D5CDD505-2E9C-101B-9397-08002B2CF9AE}" pid="20" name="MetadataSecurityLog">
    <vt:lpwstr>&lt;Log Date="-8588610234103510389" Reason="ItemUpdated" Error=""&gt;&lt;Rule Message="" Name="Admin" /&gt;&lt;/Log&gt;</vt:lpwstr>
  </property>
  <property fmtid="{D5CDD505-2E9C-101B-9397-08002B2CF9AE}" pid="21" name="display_urn:schemas-microsoft-com:office:office#IR_Owner">
    <vt:lpwstr>GRUS, VOYTEK</vt:lpwstr>
  </property>
  <property fmtid="{D5CDD505-2E9C-101B-9397-08002B2CF9AE}" pid="22" name="IR_Received_Date">
    <vt:lpwstr>2012-06-11T00:00:00Z</vt:lpwstr>
  </property>
  <property fmtid="{D5CDD505-2E9C-101B-9397-08002B2CF9AE}" pid="23" name="IR_Filing_Date">
    <vt:lpwstr>2012-06-25T00:00:00Z</vt:lpwstr>
  </property>
  <property fmtid="{D5CDD505-2E9C-101B-9397-08002B2CF9AE}" pid="24" name="Order">
    <vt:lpwstr>88300.0000000000</vt:lpwstr>
  </property>
  <property fmtid="{D5CDD505-2E9C-101B-9397-08002B2CF9AE}" pid="25" name="IR_Owner">
    <vt:lpwstr>48</vt:lpwstr>
  </property>
  <property fmtid="{D5CDD505-2E9C-101B-9397-08002B2CF9AE}" pid="26" name="IR_Witness">
    <vt:lpwstr/>
  </property>
  <property fmtid="{D5CDD505-2E9C-101B-9397-08002B2CF9AE}" pid="27" name="display_urn:schemas-microsoft-com:office:office#IR_Writer">
    <vt:lpwstr>POWER, LISA</vt:lpwstr>
  </property>
  <property fmtid="{D5CDD505-2E9C-101B-9397-08002B2CF9AE}" pid="28" name="IR_Writer">
    <vt:lpwstr>343</vt:lpwstr>
  </property>
  <property fmtid="{D5CDD505-2E9C-101B-9397-08002B2CF9AE}" pid="29" name="IR_Context">
    <vt:lpwstr>20</vt:lpwstr>
  </property>
  <property fmtid="{D5CDD505-2E9C-101B-9397-08002B2CF9AE}" pid="30" name="IR_Subtopic">
    <vt:lpwstr>215</vt:lpwstr>
  </property>
  <property fmtid="{D5CDD505-2E9C-101B-9397-08002B2CF9AE}" pid="31" name="IR_Requester">
    <vt:lpwstr>9</vt:lpwstr>
  </property>
  <property fmtid="{D5CDD505-2E9C-101B-9397-08002B2CF9AE}" pid="32" name="IR_Review_Sort">
    <vt:lpwstr>CA IR 026-050</vt:lpwstr>
  </property>
  <property fmtid="{D5CDD505-2E9C-101B-9397-08002B2CF9AE}" pid="33" name="IR_Description_Field">
    <vt:lpwstr/>
  </property>
</Properties>
</file>